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0" windowWidth="9720" windowHeight="6960" activeTab="1"/>
  </bookViews>
  <sheets>
    <sheet name="სოფლები ჯამში" sheetId="1" r:id="rId1"/>
    <sheet name="სახელმწიფო ბიუჯეტი" sheetId="2" r:id="rId2"/>
    <sheet name="ადგილობრივი ბიუჯეტი" sheetId="3" r:id="rId3"/>
  </sheets>
  <externalReferences>
    <externalReference r:id="rId6"/>
    <externalReference r:id="rId7"/>
    <externalReference r:id="rId8"/>
    <externalReference r:id="rId9"/>
    <externalReference r:id="rId10"/>
  </externalReferences>
  <definedNames>
    <definedName name="_xlnm.Print_Titles" localSheetId="2">'ადგილობრივი ბიუჯეტი'!$6:$7</definedName>
    <definedName name="_xlnm.Print_Titles" localSheetId="1">'სახელმწიფო ბიუჯეტი'!$6:$7</definedName>
  </definedNames>
  <calcPr fullCalcOnLoad="1"/>
</workbook>
</file>

<file path=xl/sharedStrings.xml><?xml version="1.0" encoding="utf-8"?>
<sst xmlns="http://schemas.openxmlformats.org/spreadsheetml/2006/main" count="1931" uniqueCount="569">
  <si>
    <t>ტურისტული სეზონის მოახლოებასთან დაკავშირებით კვების ბლოკების  სანიტარულ ჰიგიენურ მოთხოვნებთან შესაბამისობის დადგენისა და ხმაურის კონტროლის მიზნით, ასევე სახვადასხვა ლაბორატორიული გამოკვლევები</t>
  </si>
  <si>
    <t xml:space="preserve"> ზედამხედველობა პროექტებსა და დოკუმენტებზე </t>
  </si>
  <si>
    <t>ქობულეთის მუნიციპალიტეტის დაბა ჩაქვში, ბუკნარის დასახლებაში წყალსადენისა და წყლის მაგისტრალის სარეაბილიტაციო სამუშაოების საავტორო ზედამხედველობა</t>
  </si>
  <si>
    <t>III კვ- IV კვ</t>
  </si>
  <si>
    <t>ელექტრო მოწყობილობების მონტაჟი</t>
  </si>
  <si>
    <t>6 (ექვსი) ერთეული კონდენციონერის სამონტაჟო სამუშაოები</t>
  </si>
  <si>
    <t xml:space="preserve">ტექნიკური შემოწმება და ტესტირება </t>
  </si>
  <si>
    <t>კონდენციონერი 3 ცალი</t>
  </si>
  <si>
    <t>მრიცხველები</t>
  </si>
  <si>
    <t>მრიცხველების შესყიდვა</t>
  </si>
  <si>
    <t>ადმინისტრაციული სამართალდარღვევათა ოქმებისა და საჯარიმო ქვითრების ნიმუშების პოლიგრაფიული წესით დამზადება</t>
  </si>
  <si>
    <t xml:space="preserve"> ბეჭდვითი მომსახურებები
</t>
  </si>
  <si>
    <t xml:space="preserve">მობილური ტელეფონები </t>
  </si>
  <si>
    <t>მობილური ტელეფონი</t>
  </si>
  <si>
    <t>ქალაქ ქობულეთში (საავადმყოფოს უბანი, თავისუფლების ქუჩა, 9 აპრილის ქუჩა) წყალ-კანალიზაციის საპროექტო-სახარჯთაღრიცხვო დოკუმენტაციის შესყიდვა</t>
  </si>
  <si>
    <r>
      <t>საბიუჯეტო ცვლილება 12 აგვისტო 2011 წელი დადგენილება</t>
    </r>
    <r>
      <rPr>
        <sz val="10"/>
        <rFont val="AcadNusx Wd"/>
        <family val="0"/>
      </rPr>
      <t xml:space="preserve"> </t>
    </r>
    <r>
      <rPr>
        <sz val="10"/>
        <rFont val="AcadNusx"/>
        <family val="0"/>
      </rPr>
      <t>#35</t>
    </r>
  </si>
  <si>
    <r>
      <t>ამოღებულია საბიუჯეტო ცვლილება 12 აგვისტო 2011 წელი დადგენილება</t>
    </r>
    <r>
      <rPr>
        <sz val="10"/>
        <rFont val="AcadNusx Wd"/>
        <family val="0"/>
      </rPr>
      <t xml:space="preserve"> </t>
    </r>
    <r>
      <rPr>
        <sz val="10"/>
        <rFont val="AcadNusx"/>
        <family val="0"/>
      </rPr>
      <t>#35</t>
    </r>
  </si>
  <si>
    <t>ქალაქ ქობულეთში რეაბილიტირებული ლიფტების ტექნიკური შემოწმება პასპორტების შედგენის მიზნით</t>
  </si>
  <si>
    <t xml:space="preserve">სახანძრო მოწყობილობები </t>
  </si>
  <si>
    <t>აუდიტორული მომსახურება</t>
  </si>
  <si>
    <t>სამხედრო აღრიცხვის სამსახურის შენობის რემონტი</t>
  </si>
  <si>
    <t>ქ.ქობულეთში აღმაშენებლის გამზირზე ჩოლოქის ხიდიდან დასახლებულ პუნქტამდე არსებული გარე განათების 77 წერტილისა და კვირიკეს თემში 55 წერტილის რეკონსტრუქციის სამუშაოები</t>
  </si>
  <si>
    <t>მრავალბინიანი სცხოვრებელი სახლის  მდებარე ქ. ქობულეთი, დავით აღმაშენებლის გამზირი #1, სახურავის დაზიანებული ადგილების გადახურვა</t>
  </si>
  <si>
    <t xml:space="preserve">დაბა ჩაქვში დროებით იძულებით გადაადგილებული პირთა ოჯახების მრავალბინიანი საცხოვრებელი სახლის საკანალიზაციო შამბოს მოწყობის სამუშაოები </t>
  </si>
  <si>
    <t>მუნიციპალიტეტის გამგებლის კაბინეტის და მისაღების რემონტი</t>
  </si>
  <si>
    <r>
      <t xml:space="preserve">ქ.ქობულეთში დავით აღმაშენებლის გამზირი </t>
    </r>
    <r>
      <rPr>
        <sz val="10"/>
        <rFont val="AcadNusx"/>
        <family val="0"/>
      </rPr>
      <t>#</t>
    </r>
    <r>
      <rPr>
        <sz val="10"/>
        <rFont val="Arial"/>
        <family val="2"/>
      </rPr>
      <t>100-ში მდებარე შენობის სარემონტო სამუშაოები</t>
    </r>
  </si>
  <si>
    <r>
      <t>რუსთაველის ქუჩის</t>
    </r>
    <r>
      <rPr>
        <sz val="10"/>
        <rFont val="AcadNusx"/>
        <family val="0"/>
      </rPr>
      <t xml:space="preserve"> #</t>
    </r>
    <r>
      <rPr>
        <sz val="10"/>
        <rFont val="Arial"/>
        <family val="2"/>
      </rPr>
      <t xml:space="preserve">162ჟ -ს და </t>
    </r>
    <r>
      <rPr>
        <sz val="10"/>
        <rFont val="AcadNusx"/>
        <family val="0"/>
      </rPr>
      <t xml:space="preserve"> #</t>
    </r>
    <r>
      <rPr>
        <sz val="10"/>
        <rFont val="Arial"/>
        <family val="2"/>
      </rPr>
      <t>166ა-ს კორპუსის ეზოში სპორტული მოედნის მოწყობა</t>
    </r>
  </si>
  <si>
    <r>
      <t xml:space="preserve">ქ.ქობულეთში აღმაშენებლის გამზირის </t>
    </r>
    <r>
      <rPr>
        <sz val="10"/>
        <rFont val="AcadNusx"/>
        <family val="0"/>
      </rPr>
      <t>#</t>
    </r>
    <r>
      <rPr>
        <sz val="10"/>
        <rFont val="Arial"/>
        <family val="2"/>
      </rPr>
      <t>308-ის მოპირდაპირედ მწვანე ზოლის კეთილმოწყობა</t>
    </r>
  </si>
  <si>
    <t>2012 წლის პრიორიტეტული ღონისძიებების საპროექტო-სახარჯთაღრიცხვო შეძენა</t>
  </si>
  <si>
    <t>სახანძრო ავტომანქანის შეძენა</t>
  </si>
  <si>
    <t>ქ.ქობულეთში დ.აღმაშენებლის გამზირის ტროტუარებისა და ბორდიურების  რეაბილიტაცია გოგებაშვილის ქუჩიდან რკინიგზის სადგურის მოედნამდე</t>
  </si>
  <si>
    <t>ქ.ქობულეთში  დ.აღმაშენებლის გამზირზე (პიკეტიდან 20+00 გოგებაშვილის ქუჩის გადაკვეთამდე)არსებული  სანიაღვრე სისტემის რეაბილიტაცია  და რკინიგზის სადგურიდან ჯინჭარაძის ქუჩის კვეთამდე  მდებარე ტერიტორიის სანიაღვრე კანალიზაციის კოლექტორების (50-ე(50-1,50-2,50-3,50-4), 53-ედა 54-ე) მოწყობა</t>
  </si>
  <si>
    <t>საავადმყოფოს უბნის წყალმომარაგებისა და კანალიზაციის ქსელის სარებილიტაციო სამუშაოები</t>
  </si>
  <si>
    <t>IV კვ</t>
  </si>
  <si>
    <t>დაბა ჩაქვში სატრენაჟორო მოედნის შემოღობვა</t>
  </si>
  <si>
    <t>უნიფორმა</t>
  </si>
  <si>
    <t>ველომარათონის მოწყობა (ახალგაზრდებს შორის სპორტის ამ სახეობის პოპულარიზება და გამარჯვებულების დაჯილდოება)</t>
  </si>
  <si>
    <t>ფანარი</t>
  </si>
  <si>
    <t>ფარდა ჟალუზი</t>
  </si>
  <si>
    <t>გაზის გამათბობლების შეძენა-მონტაჟი</t>
  </si>
  <si>
    <t>მუნიციპალიტეტის ტერიტორიაზე ტერიტორიული ორგანოების ადმინისტრაციულ შენობებში სარემონტო სამუშაოების ჩატარება</t>
  </si>
  <si>
    <t>საოფისე ავეჯი</t>
  </si>
  <si>
    <t>სეიფი</t>
  </si>
  <si>
    <t>გერბის დამზადება</t>
  </si>
  <si>
    <t>დეკორატიული ყვავილები</t>
  </si>
  <si>
    <t>ავტობუსის შეძენა</t>
  </si>
  <si>
    <t>გამათბობლები</t>
  </si>
  <si>
    <t>კომპიუტერული ტექნიკა</t>
  </si>
  <si>
    <t>საკანცელარიო</t>
  </si>
  <si>
    <t>ტრანსპორტირება</t>
  </si>
  <si>
    <t xml:space="preserve">დემონტაჟი </t>
  </si>
  <si>
    <t>გარე განათების მოწყობილობების მონტაჟი</t>
  </si>
  <si>
    <t xml:space="preserve">    სახურავის კარკასისა და საფარის მონტაჟი და მასთან დაკავშირებული სამუშაოები</t>
  </si>
  <si>
    <t xml:space="preserve">ღობეების შემოვლება </t>
  </si>
  <si>
    <t>სპორტული მოედნებისა და დასასვენებელი ტერიტორიების მოწყობა</t>
  </si>
  <si>
    <t xml:space="preserve">საინჟინრო მომსახურებები </t>
  </si>
  <si>
    <t xml:space="preserve">სახანძრო მანქანები </t>
  </si>
  <si>
    <t>სამუშაოები მთლიანი ან ნაწილობრივი მშენებლობისათვის და სამოქალაქო მშენებლობის სამუშაოები</t>
  </si>
  <si>
    <t xml:space="preserve">სტუდენტებისათვის გამოცდების წარმატებით ჩაბარების მილოცვა  (მონაწილე ბენდის მოწვევისა და ტერიტორიის დაქირავების ხარჯი 1300 ლარი, ტრანსპორტირება 200 ლარი და ფურშეტი 100 კაცი 1500ლარი)                                                              </t>
  </si>
  <si>
    <t xml:space="preserve"> კულტურული ღონისძიებების ორგანიზება </t>
  </si>
  <si>
    <t xml:space="preserve">სპორტული მოვლენების ორგანიზება </t>
  </si>
  <si>
    <t xml:space="preserve">ჟალუზები </t>
  </si>
  <si>
    <t xml:space="preserve"> გაზის გამათბობლები </t>
  </si>
  <si>
    <t xml:space="preserve"> დაჯავშნული ან არმირებული სეიფები, რკინის კარადები და კარებები   </t>
  </si>
  <si>
    <t xml:space="preserve"> დეკორატიული მცენარეები, ბალახი, ხავსი ან ხავსურა </t>
  </si>
  <si>
    <t>03441000</t>
  </si>
  <si>
    <t xml:space="preserve">ელექტრო გამათბობელი მოწყობილობები </t>
  </si>
  <si>
    <t xml:space="preserve">საწვავი </t>
  </si>
  <si>
    <t>მაცივარ-საყინულეები</t>
  </si>
  <si>
    <t xml:space="preserve">ფანრები </t>
  </si>
  <si>
    <t xml:space="preserve"> სამუშაო ტანსაცმელი, სპეცტანსაცმელი და აქსესუარები</t>
  </si>
  <si>
    <t>დაბა ოჩხამურში ცენტრში სკვერის სანათებისათვის ნათურების შეძენა</t>
  </si>
  <si>
    <t>დაბა ჩაქვში რკინიგზის სადგურთან სკვერის კეთილმოწყობის სამუშაოები</t>
  </si>
  <si>
    <t xml:space="preserve">ქობულეთის მუნიციპალიტეში არსებული მოსაცდელების რეაბილიტაცია </t>
  </si>
  <si>
    <t>დაბა ჩაქვში დუმბაძის ქუჩაზე გარე განათების მონტაჟი</t>
  </si>
  <si>
    <t>სოფ. ალამბარში ადმინისტრაციული შენობის გვერდითი ფასადის აკვრა გონდოლინით და ფანჯრების თუნუქით მოწყობა</t>
  </si>
  <si>
    <t>სოფ. აჭყვისთავის ცენტრში გარე განათების მოწყობა</t>
  </si>
  <si>
    <t>სოფ. ბობოყვათის წყალსადენის სათავე ნაგებობის მოწყობა</t>
  </si>
  <si>
    <t>გარე განათების მოწყობა სოფ. გვარას ცენტრში</t>
  </si>
  <si>
    <r>
      <t>საბიუჯეტო ცვლილება 15 დეკემბერი 2011 წელი დადგენილება</t>
    </r>
    <r>
      <rPr>
        <sz val="10"/>
        <rFont val="AcadNusx Wd"/>
        <family val="0"/>
      </rPr>
      <t xml:space="preserve"> </t>
    </r>
    <r>
      <rPr>
        <sz val="10"/>
        <rFont val="AcadNusx"/>
        <family val="0"/>
      </rPr>
      <t>#40</t>
    </r>
  </si>
  <si>
    <r>
      <t>საბიუჯეტო ცვლილება 15 დეკემბერი 2011 წელი დადგენილება</t>
    </r>
    <r>
      <rPr>
        <sz val="10"/>
        <rFont val="AcadNusx Wd"/>
        <family val="0"/>
      </rPr>
      <t xml:space="preserve"> </t>
    </r>
    <r>
      <rPr>
        <sz val="10"/>
        <rFont val="AcadNusx"/>
        <family val="0"/>
      </rPr>
      <t>#40 გადაუდებელი აუცილებლობა</t>
    </r>
  </si>
  <si>
    <t>სოფ. ქვედა კონდიდის გარე განათების მოწყობა ლაზიშვილების დასახლებაში</t>
  </si>
  <si>
    <t>სოფ. დაგვას საჭიროებისათვის წყლის მილების შეძენა (32-მმ 1949 გრძ.მ.)</t>
  </si>
  <si>
    <t>ზენითის ცენტრში გარე განათების მოწყობა</t>
  </si>
  <si>
    <t>სოფ. ზედა კვირიკეს წყალსადენის სათავე ნაგებობის მოწყობა</t>
  </si>
  <si>
    <t>სოფ. ლეღვას ცენტრში გარე განათების მოწყობა</t>
  </si>
  <si>
    <t>სოფ. სქურას გარე განათების მოწყობა სკოლასთან</t>
  </si>
  <si>
    <t>სოფ. ცხრაფონას სამანქანე სავალი ხიდის რემონტი</t>
  </si>
  <si>
    <t>სოფ. მუხაესტატეს წყალსადენის მილის მიწაში ჩადება 2500 მეტრიან მონაკვეთზე</t>
  </si>
  <si>
    <t>სოფ. ქაქუთის ცენტრში გარე განათების მოწყობა</t>
  </si>
  <si>
    <t>სოფ. აჭის ცენტრში გარე განათების მოწყობა</t>
  </si>
  <si>
    <t>გოგმაჩაურისა და ქაქუთის მოსახლეობისათვის ცენტრალური წყალსადენის მილის გაყვანა 800 მეტრიან მონაკვეთზე</t>
  </si>
  <si>
    <t>სოფელ ქობულეთის კულტურის სახლის სახურავზე  წყალსარინი ღარების მოწყობა</t>
  </si>
  <si>
    <t>სოფელ ქობულეთის  კულტურის სახლზე  3-ფაზიანი კაბელის მიყვანა-მონტაჟი</t>
  </si>
  <si>
    <t>სოფ. ქობულეთის ცენტრში გარე განათების მოწყობა</t>
  </si>
  <si>
    <t>სოფ. კოხში მოსაცდელის თუნუქით მოწყობა</t>
  </si>
  <si>
    <t>სოფ. ციხისძირის ცენტრში შადრევანის მოწყობა მოზაიკით</t>
  </si>
  <si>
    <t xml:space="preserve">სოფ. ციხისძირის კლუბის შენობის ფასადის შეღებვა </t>
  </si>
  <si>
    <t>სოფ. შუაღელეს სამედიცინო პუნქტში ამბულატორიის კედლებზე გონდოლინის აკვრა</t>
  </si>
  <si>
    <t>სოფ. ხალას კულტურის სახლისათვის დამატებით სპორტული ინვენტარის შეძენა</t>
  </si>
  <si>
    <t>III კვ - IV კვ</t>
  </si>
  <si>
    <t>II კვ-IV კვ</t>
  </si>
  <si>
    <t>I კვ-IV  კვ</t>
  </si>
  <si>
    <t xml:space="preserve">ბეჭდვა და მასთან დაკავშირებული მომსახურებები
</t>
  </si>
  <si>
    <t xml:space="preserve">ამოღებულია </t>
  </si>
  <si>
    <t>ქ. ქობულეთში საპირფარეშოების მოწყობა</t>
  </si>
  <si>
    <t xml:space="preserve">სასტუმროს მომსახურება </t>
  </si>
  <si>
    <r>
      <t xml:space="preserve">ქ.ქობულეთში დავით აღმაშენებლის გამზირი </t>
    </r>
    <r>
      <rPr>
        <sz val="10"/>
        <rFont val="AcadNusx"/>
        <family val="0"/>
      </rPr>
      <t>#</t>
    </r>
    <r>
      <rPr>
        <sz val="10"/>
        <rFont val="Arial"/>
        <family val="2"/>
      </rPr>
      <t>100-ში მდებარე შენობის სარემონტო სამუშაოების საპროექტო-სახარჯთაღრიცვო დოკუმენტაციის შედგენა</t>
    </r>
  </si>
  <si>
    <r>
      <t xml:space="preserve">ქ.ქობულეთში აღმაშენებლის გამზირის </t>
    </r>
    <r>
      <rPr>
        <sz val="10"/>
        <rFont val="AcadNusx"/>
        <family val="0"/>
      </rPr>
      <t>#</t>
    </r>
    <r>
      <rPr>
        <sz val="10"/>
        <rFont val="Arial"/>
        <family val="2"/>
      </rPr>
      <t>308-ის მოპირდაპირედ მწვანე ზოლის კეთილმოწყობის სამუშაოების საპროექტო-სახარჯთაღრიცვო დოკუმენტაციის შედგენა</t>
    </r>
  </si>
  <si>
    <r>
      <t>ქ.ქობულეთში რუსთაველის ქუჩის</t>
    </r>
    <r>
      <rPr>
        <sz val="10"/>
        <rFont val="AcadNusx"/>
        <family val="0"/>
      </rPr>
      <t xml:space="preserve"> #</t>
    </r>
    <r>
      <rPr>
        <sz val="10"/>
        <rFont val="Arial"/>
        <family val="2"/>
      </rPr>
      <t xml:space="preserve">162ჟ -ს და  </t>
    </r>
    <r>
      <rPr>
        <sz val="10"/>
        <rFont val="AcadNusx"/>
        <family val="0"/>
      </rPr>
      <t>#</t>
    </r>
    <r>
      <rPr>
        <sz val="10"/>
        <rFont val="Arial"/>
        <family val="2"/>
      </rPr>
      <t>166ა-ს კორპუსის ეზოში სპორტული მოედნის მოწყობის საპროექტო-სახარჯთაღრიცვო დოკუმენტაციის შედგენა</t>
    </r>
  </si>
  <si>
    <t xml:space="preserve">გასანათებელი მოწყობილობები და ელექტრო ნათურები </t>
  </si>
  <si>
    <t>სოფ. ჭახათის კლუბის მოწყობა</t>
  </si>
  <si>
    <t xml:space="preserve">სპორტული საქონელი და მოწყობილობები </t>
  </si>
  <si>
    <t xml:space="preserve">სარემონტო-სამონტაჟო სამუშაოები </t>
  </si>
  <si>
    <t>(ავტო)საგზაო ტრანსპორტთან დაკავშირებული შენობების მშენებლობა</t>
  </si>
  <si>
    <t>1. შევსების თარიღი: 15  დეკემბერი 2011 წელი</t>
  </si>
  <si>
    <t xml:space="preserve">მილსადენები, მილსადენი სისტემები/მილსადენების ქსელი, გარსაცმები, მილები (შიდა დიამეტრის გათვალისწინებით) და მათთან დაკავშირებული მასალები
</t>
  </si>
  <si>
    <t>სოფელ ბობოყვათში კულტურის სახლის რეაბილიტაცია</t>
  </si>
  <si>
    <t>სოფელ გვარას კლუბის (ყოფილი ადმინისტრაციული შენობა) რეაბილიტაცია</t>
  </si>
  <si>
    <t>სოფელ ბუკნარის საჯარო სკოლის ღობის რეაბილიტაცია</t>
  </si>
  <si>
    <t xml:space="preserve">დანართი </t>
  </si>
  <si>
    <t>დანართი</t>
  </si>
  <si>
    <t>09111400</t>
  </si>
  <si>
    <t>იზოლირებული მავთული და კაბელი</t>
  </si>
  <si>
    <t>ელექტროსადენების შეძენა მონტჟი</t>
  </si>
  <si>
    <t>გაზის გენერატორების ნაწილები</t>
  </si>
  <si>
    <t>გაზის გამათბობელის ტუმბო საქვაბისათვის</t>
  </si>
  <si>
    <t xml:space="preserve"> გასართობი ღონისძიებები </t>
  </si>
  <si>
    <t>შობა-ახალი წლისადმი მიძღვნილი კულტურული ღონისძიების მომსახურების შესყიდვა</t>
  </si>
  <si>
    <t>გასანათებელი მოწყობილობები და ელექტრო ნათურები</t>
  </si>
  <si>
    <r>
      <t xml:space="preserve">საქართველოს მთავრობის 2011 31 იანვარი </t>
    </r>
    <r>
      <rPr>
        <sz val="10"/>
        <color indexed="9"/>
        <rFont val="AcadNusx"/>
        <family val="0"/>
      </rPr>
      <t>#</t>
    </r>
    <r>
      <rPr>
        <sz val="10"/>
        <color indexed="9"/>
        <rFont val="Sylfaen"/>
        <family val="1"/>
      </rPr>
      <t>201 განკარგულება</t>
    </r>
  </si>
  <si>
    <t>საახალწლო ქალაქ გაფორმებისათვის ინვენტარის შეძენა</t>
  </si>
  <si>
    <t xml:space="preserve"> სარემონტო-სამონტაჟო სამუშაოები </t>
  </si>
  <si>
    <t>საახალწლო ნაძვის ხის და საახალწლო დეკორაციების მონტაჟი/დემონტაჟი</t>
  </si>
  <si>
    <t>საახალწლო ღონისძიებებისათვის სცენის მონტაჟი/დემონტაჟი</t>
  </si>
  <si>
    <t>„საქართველოს მთავრობის სტრუქტურის, უფლებამოსილებისა და საქმიანობის წესის შესახებ“ საქართველოს კანონში განხორციელებული ცვლილებები</t>
  </si>
  <si>
    <t>კვირიკეს თემის სოფელ კვირიკეს კლუბისათვის (ყოფილი ადმინისტრაციული შენობა) 59 (ორმოცდაცხრამეტი) სკამი</t>
  </si>
  <si>
    <t>სოფ. საჩინოს ბავშვთა ბაგა-ბაღის საძინებელი ოთახის მოწყობა</t>
  </si>
  <si>
    <t>სხვადასხვა დასაჯდომები და სკამები</t>
  </si>
  <si>
    <t>სავარძლები</t>
  </si>
  <si>
    <t>მობილური ტელეფონები</t>
  </si>
  <si>
    <r>
      <t>ფოტოგრაფიული მოწყობილობები</t>
    </r>
    <r>
      <rPr>
        <sz val="10"/>
        <rFont val="Arial"/>
        <family val="2"/>
      </rPr>
      <t xml:space="preserve"> </t>
    </r>
  </si>
  <si>
    <t>5. სახელმწიფო შესყიდვების გეგმით გათვალისწინებული ჯამური თანხა დაფინანსების წყაროს შესაბამისად 14 089 899 ლარი</t>
  </si>
  <si>
    <t>5. სახელმწიფო შესყიდვების გეგმით გათვალისწინებული ჯამური თანხა დაფინანსების წყაროს შესაბამისად 1075176 ლარი</t>
  </si>
  <si>
    <t>1. შედგენის თარიღი: 15 დეკემბერი 2011 წელი</t>
  </si>
  <si>
    <r>
      <t>საბიუჯეტო ცვლილება 10 ოქტომბერი 2011 წელი დადგენილება</t>
    </r>
    <r>
      <rPr>
        <sz val="10"/>
        <rFont val="AcadNusx Wd"/>
        <family val="0"/>
      </rPr>
      <t xml:space="preserve"> </t>
    </r>
    <r>
      <rPr>
        <sz val="10"/>
        <rFont val="AcadNusx"/>
        <family val="0"/>
      </rPr>
      <t>#39</t>
    </r>
  </si>
  <si>
    <r>
      <t>საბიუჯეტო ცვლილება10 ოქტომბერი 2011 წელი დადგენილება</t>
    </r>
    <r>
      <rPr>
        <sz val="10"/>
        <rFont val="AcadNusx Wd"/>
        <family val="0"/>
      </rPr>
      <t xml:space="preserve"> </t>
    </r>
    <r>
      <rPr>
        <sz val="10"/>
        <rFont val="AcadNusx"/>
        <family val="0"/>
      </rPr>
      <t>#39</t>
    </r>
  </si>
  <si>
    <t>ამოღებულია საბიუჯეტო ცვლილება 10 ოქტომბერი 2011 წელი დადგენილება 39</t>
  </si>
  <si>
    <r>
      <t xml:space="preserve">საბიუჯეტო ცვლილება 10 ოქტომბერი 2011 წელი დადგენილება </t>
    </r>
    <r>
      <rPr>
        <sz val="10"/>
        <rFont val="AcadNusx"/>
        <family val="0"/>
      </rPr>
      <t xml:space="preserve">#39 </t>
    </r>
    <r>
      <rPr>
        <sz val="10"/>
        <rFont val="Sylfaen"/>
        <family val="1"/>
      </rPr>
      <t>შესყიდვის ღირებულება მთლიანი ღირებულებაა 4 125 077 ლარი</t>
    </r>
  </si>
  <si>
    <r>
      <t>საბიუჯეტო ცვლილება 10 ოქტომბერი 2011 წელი დადგენილება</t>
    </r>
    <r>
      <rPr>
        <sz val="10"/>
        <rFont val="AcadNusx"/>
        <family val="0"/>
      </rPr>
      <t xml:space="preserve"> #39</t>
    </r>
  </si>
  <si>
    <r>
      <t xml:space="preserve">ამოღებულია საბიუჯეტო ცვლილება 10 ოქტომბერი 2011 წელი დადგენილება </t>
    </r>
    <r>
      <rPr>
        <sz val="10"/>
        <rFont val="AcadNusx"/>
        <family val="0"/>
      </rPr>
      <t>#3</t>
    </r>
    <r>
      <rPr>
        <sz val="10"/>
        <rFont val="Sylfaen"/>
        <family val="1"/>
      </rPr>
      <t>9</t>
    </r>
  </si>
  <si>
    <r>
      <t xml:space="preserve">საბიუჯეტო ცვლილება 10 ოქტომბერი 2011 წელი დადგენილება </t>
    </r>
    <r>
      <rPr>
        <sz val="10"/>
        <rFont val="AcadNusx"/>
        <family val="0"/>
      </rPr>
      <t>#39</t>
    </r>
  </si>
  <si>
    <r>
      <t xml:space="preserve">საბიუჯეტო ცვლილება 10 ოქტომბერი 2011 წელი დადგენილება </t>
    </r>
    <r>
      <rPr>
        <sz val="10"/>
        <rFont val="AcadNusx"/>
        <family val="0"/>
      </rPr>
      <t>#39</t>
    </r>
    <r>
      <rPr>
        <sz val="10"/>
        <rFont val="Sylfaen"/>
        <family val="1"/>
      </rPr>
      <t xml:space="preserve"> </t>
    </r>
  </si>
  <si>
    <t>სახელმწიფო შესყიდვების წლიური გეგმა</t>
  </si>
  <si>
    <t>დანაყოფის კოდი</t>
  </si>
  <si>
    <t>დანაყოფის დასახელება</t>
  </si>
  <si>
    <t>სავარაუდო ღირებულება</t>
  </si>
  <si>
    <t>შესყიდვის საშუალება</t>
  </si>
  <si>
    <t>შესყიდვების დაწყების სავარაუდო ვადები</t>
  </si>
  <si>
    <t>შესყიდვის ობიექტის მიწოდების სავარაუდო ვადა</t>
  </si>
  <si>
    <t>შენიშვნა</t>
  </si>
  <si>
    <t>#</t>
  </si>
  <si>
    <t>3. შემსყიდველი ორგანიზაციის დასახელება: ქობულეთის მუნიციპალიტეტი</t>
  </si>
  <si>
    <t>4. დაფინანსების წყარო: ადგილობრივი ბიუჯეტი</t>
  </si>
  <si>
    <t>გ.ე.ტ.</t>
  </si>
  <si>
    <t>ე.ტ.</t>
  </si>
  <si>
    <t>გ.შ.</t>
  </si>
  <si>
    <t>ე.ტ</t>
  </si>
  <si>
    <t>ქუჩის/გარე განათების ტექნიკური მომსახურება</t>
  </si>
  <si>
    <t xml:space="preserve"> გარე განათების მოწყობილობების მონტაჟი</t>
  </si>
  <si>
    <t xml:space="preserve">                                         45316100
</t>
  </si>
  <si>
    <t>დემონტაჟი</t>
  </si>
  <si>
    <t>შიდა ეზოები</t>
  </si>
  <si>
    <t>სახურავის გადახურვა ლითონის საფარით</t>
  </si>
  <si>
    <t>ლიფტის მონტაჟი</t>
  </si>
  <si>
    <t>სათამაშო მოედნების მოწყობილობების შეკეთება და ტექნიკური მომსახურება</t>
  </si>
  <si>
    <t xml:space="preserve">ჩამდინარე წყლებთან, ნაგვის გატანასთან, დასუფთავებასა და გარემოდაცვასთან დაკავშირებული მომსახურებები </t>
  </si>
  <si>
    <t>მაგისტრალური წყალსადენის სამშენებლო–აღდგენითი სამუშაოები</t>
  </si>
  <si>
    <t>ტენდერი</t>
  </si>
  <si>
    <t xml:space="preserve">ჩამდინარე წყლებთან დაკავშირებული მომსახურებები </t>
  </si>
  <si>
    <t>სარინელის/კანალიზაციის მშენებლობა</t>
  </si>
  <si>
    <t>სანტექნიკური მოწყობილობების მონტაჟი</t>
  </si>
  <si>
    <t>დეზინფექციისა და შეწამვლის ღონისძიებები</t>
  </si>
  <si>
    <t>ადგილის/სამშენებლო მოედნის მოსამზადებელი სამუშაო</t>
  </si>
  <si>
    <t>სასადილოებისა და საზოგადოებრივი კვების საწარმოების მომსახურებები</t>
  </si>
  <si>
    <t xml:space="preserve">სასადილოებისა და საზოგადოებრივი კვების საწარმოების მომსახურებები </t>
  </si>
  <si>
    <t>I კვ</t>
  </si>
  <si>
    <t>II კვ</t>
  </si>
  <si>
    <t>II კვ - III კვ</t>
  </si>
  <si>
    <t>II კვ-III კვ</t>
  </si>
  <si>
    <t>I კვ - IV კვ</t>
  </si>
  <si>
    <t>II კვ - IV კვ</t>
  </si>
  <si>
    <t>III კვ</t>
  </si>
  <si>
    <t>I კვ-II  კვ</t>
  </si>
  <si>
    <t>ეპილეფსიის საწიონააღმდეგო საშუალებები</t>
  </si>
  <si>
    <t>დაკრეფილი ყვავილები</t>
  </si>
  <si>
    <t xml:space="preserve">რესტორნებისა და საზოგადოებრივი კვების საწარმოების მომსახურებები   </t>
  </si>
  <si>
    <t xml:space="preserve">კულტურული ღონისძიებების ორგანიზება </t>
  </si>
  <si>
    <t xml:space="preserve">სამგზავრო სატრანსპორტო საშუალებების დაქირავება მძღოლთან ერთად </t>
  </si>
  <si>
    <t>სპორტთან დაკავშირებული მომსახურებები</t>
  </si>
  <si>
    <t>აზომვითი 
ნახაზები კარტოგრაფირება
რუკების შედგენა</t>
  </si>
  <si>
    <t xml:space="preserve">საბუღალტრო, აუდიტორული და ფისკალური მომსახურებები </t>
  </si>
  <si>
    <t>ფინანსური ანალიზისა და ბუღალტერიის პროგრამული პაკეტები</t>
  </si>
  <si>
    <t xml:space="preserve">პროგრამები პროგრამული უზრუნველყოფისათვის და საკონსულტაციო მომსახურებები </t>
  </si>
  <si>
    <t>საკონსულტაციო საინჟინრო და სამშენებლო მომსახურებები</t>
  </si>
  <si>
    <t>ურბანული დაგეგმარება და ლანდშაფტური არქიტექტურული მომსახურება</t>
  </si>
  <si>
    <t xml:space="preserve">კვლევა და სრულყოფა და მათთან დაკავშირებული საკონსულტაციო მომსახურებები </t>
  </si>
  <si>
    <t xml:space="preserve">გაზეთები, სამეცნიერო ჟურნალები, პერიოდიკა და ჟურნალები </t>
  </si>
  <si>
    <t>ელექტრონული პუბლიკაციების პროგრამული პაკეტები</t>
  </si>
  <si>
    <t>საბეჭდი მასალები და მონათესავე პროდუქცია</t>
  </si>
  <si>
    <t>30100000                               30200000</t>
  </si>
  <si>
    <t xml:space="preserve">–საოფისე კომპიუტერული მანქანები, მოწყობილობები და მარაგები ავეჯისა და –პროგრამული პაკეტების გარდა;                        კომპიუტერული მოწყობილობები და მარაგი </t>
  </si>
  <si>
    <t>ტელევიზორები</t>
  </si>
  <si>
    <t>ტელეფონის აპარატები</t>
  </si>
  <si>
    <t>ფოტოგრაფიული მოწყობილობები</t>
  </si>
  <si>
    <t>პერსონალური კომპიუტერის შეკეთება ტექნიკური მომსახურება</t>
  </si>
  <si>
    <t>გამათბობელი მოწყობილობები</t>
  </si>
  <si>
    <t>ავეჯი (საოფისე ავეჯის ჩათვლით) ავეჯეულობა, საშინაო მოხმარების ხელსაწყოები</t>
  </si>
  <si>
    <t>საწმენდი საშუალებები და პროდუქტები</t>
  </si>
  <si>
    <t>ჰაერის საკონდენსაციო საშუალებები</t>
  </si>
  <si>
    <t>სატრანსპორტო ხელსაწყოები და ტრანსპორტირების დამხმარე საშუალებები</t>
  </si>
  <si>
    <t>ტუმბოები და კომპრესორები</t>
  </si>
  <si>
    <t>ხელსაწყოები, საკეტები, გასაღებები, ანჯამები, დამჭერები, ჭაჯვები და ზამბარები/რესორები</t>
  </si>
  <si>
    <t>მინა</t>
  </si>
  <si>
    <t xml:space="preserve">საზოგადოებრივი სატელეფონო მომსახურება </t>
  </si>
  <si>
    <t>ინტერნეტ მომსახურებები</t>
  </si>
  <si>
    <t>საფოსტო და საკურიერო მომსახურებები</t>
  </si>
  <si>
    <t>ნავთობპროდუქტები, საწვავი, ელექტროობა და ენერგიის სხვა წყაროები</t>
  </si>
  <si>
    <t xml:space="preserve">50100000 -  </t>
  </si>
  <si>
    <t>სატრანსპორტო საშუალებებისა და მათთან დაკავშირებული მოწყობილობების შეკეთება, ტექნიკური მომსახურება და მასთან დაკავშირებული მომსახურებები</t>
  </si>
  <si>
    <t>საგანმანათელებლო და სატრენინგო მომსახურებები</t>
  </si>
  <si>
    <t>მომსახურებები სამოქალაქო დაცვის სფეროში</t>
  </si>
  <si>
    <t xml:space="preserve">                                                                                 752220000
</t>
  </si>
  <si>
    <t xml:space="preserve"> ბეჭდვა და მასთან დაკავშირებული მომსახურებები</t>
  </si>
  <si>
    <t xml:space="preserve">79800000 
</t>
  </si>
  <si>
    <t xml:space="preserve">საავადმყოფოს მომსახურებები და მასთან დაკავშირებული მომსახურებები </t>
  </si>
  <si>
    <t xml:space="preserve">გაზის აპარატურის მონტაჟი </t>
  </si>
  <si>
    <t>სადაზღვევო მომსახურებები</t>
  </si>
  <si>
    <t>ხანძარსაქრობი ქაფი და მსგავსი ნაერთები</t>
  </si>
  <si>
    <t xml:space="preserve">ძრავიანი სატრანსპორტო საშუალებები </t>
  </si>
  <si>
    <t>ძრავიანი სატრანსპორტო საშუალებები</t>
  </si>
  <si>
    <t xml:space="preserve">კომპიუტერული მოწყობილობები და მარაგი </t>
  </si>
  <si>
    <t xml:space="preserve"> ხის მასალის საწვავი</t>
  </si>
  <si>
    <t>გეგმების, სამუშაო ნახაზებისა და ტექნიკური პირობების დამტკიცება</t>
  </si>
  <si>
    <t>ხელშეკრულება გაფორმებულია 2010 წლის 05 ნოემბერს შ.პ.ს. "გზა"–სთან მისი მოქმედების ვადაა 2011 წლის 10 თებერვალი, 2010 წელს შესრულებულია 359535 სამუშაოები</t>
  </si>
  <si>
    <t xml:space="preserve"> IV კვ</t>
  </si>
  <si>
    <t xml:space="preserve">I კვ </t>
  </si>
  <si>
    <t>I კვ - II კვ</t>
  </si>
  <si>
    <t xml:space="preserve">ფოტოასლების გადამღები </t>
  </si>
  <si>
    <t xml:space="preserve"> 45233222 
</t>
  </si>
  <si>
    <t>მოკირწყლვისა და მოასფალტების სამუშაოები</t>
  </si>
  <si>
    <t xml:space="preserve">II კვ </t>
  </si>
  <si>
    <t xml:space="preserve">ქვეითად მოსიარულეთა გზების მშენებლობა </t>
  </si>
  <si>
    <t>წყალგაყვანილობის მონტაჟი</t>
  </si>
  <si>
    <t xml:space="preserve">45332200  
</t>
  </si>
  <si>
    <t xml:space="preserve">                                                                                ტონერის კარტრიჯები
</t>
  </si>
  <si>
    <t>ნარჩენების გადატუმბვის სადგური</t>
  </si>
  <si>
    <t>ქალაქ ქობულეთში, დავით აღმაშენებლის გამზირის ასფალტირების ტროტუარებისა და ბორდიურების რეაბილიტაციის  საპროექტო–სახარჯთაღრიცხვო დოკუმენტაციის შედგენა</t>
  </si>
  <si>
    <t>მეგობრობის ქუჩის კეთილმოწყობის საპროექტო–სახარჯთაღრიცხვო დოკუმენტაციის შედგენა</t>
  </si>
  <si>
    <t>მეგობრობის ქუჩის კეთილმოწყობა</t>
  </si>
  <si>
    <t>გზის სამუშაოები</t>
  </si>
  <si>
    <t xml:space="preserve">ქობულეთის მუნიციპალიტეტის ტერიტორიაზე გარე განათების წერტების (2843) მიმდინარე მოვლა ექსპლუატაცია </t>
  </si>
  <si>
    <t>გარე განათების წერტების მონტაჟის საპროექტო–სახარჯთაღრიცხვო დოკუმენტაციის შედგენა</t>
  </si>
  <si>
    <t>გარე განათების წერტების მონტაჟი (252)</t>
  </si>
  <si>
    <t>წლის განმავლობაში მუნიციპალიტეტის ტერიტორიაზე გამოვლენილი უკანონო მიშენებებისა და ჯიხურების დემონტაჟი</t>
  </si>
  <si>
    <t>ქალაქ ქობულეთში მდებარე მრავალბინიანი საცხოვრებელი სახლების ეზოებში სკვერების მოწყობის საპროექტო–სახარჯთაღრიცხვო დოკუმენტაციის შედგენა</t>
  </si>
  <si>
    <t>ქალაქ ქობულეთში მდებარე მრავალბინიანი საცხოვრებელი სახლების ეზოებში სკვერების მოწყობის სამუშაოები</t>
  </si>
  <si>
    <t>ქობულეთის მუნიციპალიტეტის ტერიტორიაზე მრავალბინიანი საცხოვრებელი სახლების გადახურვის საპროექტო–სახარჯთაღრიცხვო დოკუმენტაციის შედგენა</t>
  </si>
  <si>
    <t>ქობულეთის მუნიციპალიტეტის ტერიტორიაზე მრავალბინიანი საცხოვრებელი სახლების გადახურვის სამუშაოები</t>
  </si>
  <si>
    <t>ქობულეთის მუნიციპალიტეტის ტერიტორიაზე მრავალბინიანი საცხოვრებელი სახლებში ლიფტების სამონტაჟო–სარეაბილიტაციო სამუშაოების საპროექტო–სახარჯთაღრიცხვო დოკუმენტაციის შედგენა</t>
  </si>
  <si>
    <t xml:space="preserve">ქობულეთის მუნიციპალიტეტის ტერიტორიაზე მრავალბინიანი საცხოვრებელი სახლებში ლიფტების სამონტაჟო–სარეაბილიტაციო სამუშაოები </t>
  </si>
  <si>
    <t>მუნიციპალიტეტის ტერიტორიაზე არსებულ სკვერებში, პარკებსა და სტადიონებზე, ატრაქციონების, ტრენაჟორების, სავალ ნაწილზე დეკორატიული ფილების, ბორდიურების, საჯდომების მიმდინარე შეკეთება</t>
  </si>
  <si>
    <t>ქობულეთის მუნიციპალიტეტის ტერიტორიის სანიტარული დასუფთავება</t>
  </si>
  <si>
    <t>ქობულეთის მუნიციპალიტეტის ტერიტორიაზე, კერძოდ სოფელ ქობულეთის თემის სოფელ ზედა სამების, ხუცუბნის თემის, ზენითის თემის, ბობოყვათის თემის, მუხაესტატეს თემის, ლეღვას თემის, ლეღვას თემის სოფელ სკურას და სოფელ ცხრაფონას წყალსადენების სათავე ნაგებობების, სანიტარული ზონებისა და რეზერვუარების რეაბილიტაციის საპროექტო–სახარჯთაღრიცხვო დოკუმენტაციის შედგენა</t>
  </si>
  <si>
    <t>ქობულეთის მუნიციპალიტეტის ტერიტორიაზე, კერძოდ სოფელ ქობულეთის თემის სოფელ ზედა სამების, ხუცუბნის თემის, ზენითის თემის, ბობოყვათის თემის, მუხაესტატეს თემის, ლეღვას თემის, ლეღვას თემის სოფელ სკურას და სოფელ ცხრაფონას წყალსადენების სათავე ნაგებობების, სანიტარული ზონებისა და რეზერვუარების სარეაბილიტაციო სამუშაოები</t>
  </si>
  <si>
    <t>ქობულეთის მუნიციპალიტეტის ციხისძირის თემის, სოფელ შუაღელეს წყალსადენის 500 ტონიანი რეზერვუარის, მიმღები სათავე ნაგებობის კაპიტალური სარემონტო სამუშაოების საპროექტო–სახარჯთაღრიცხვო დოკუმენტაციის შედგენა</t>
  </si>
  <si>
    <t>ქობულეთის მუნიციპალიტეტის ციხისძირის თემის, სოფელ შუაღელეს წყალსადენის 500 ტონიანი რეზერვუარის, მიმღები სათავე ნაგებობის კაპიტალური სარემონტო სამუშაოები</t>
  </si>
  <si>
    <t>ქობულეთის მუნიციპალიტეტის დაბა ჩაქვში, ბუკნარის დასახლებაში წყალსადენისა და წყლის მაგისტრალის რეაბილიტაცია</t>
  </si>
  <si>
    <t xml:space="preserve">ქობულეთის მუნიციპალიტეტის ხუცუბნის თემში ნაკაიძეების დასახლებაში წყალსადენის სისტემის რეაბილიტაცია </t>
  </si>
  <si>
    <t xml:space="preserve">წყლის სადენზინფექციო ქლორის შეძენა </t>
  </si>
  <si>
    <t xml:space="preserve">ქალაქ ქობულეთის სანიაღვრე არხების მიმდინარე მოვლა–შენახვა </t>
  </si>
  <si>
    <t>ქალაქ ქობულეთში (საავადმყოფოს უბანში) სანიაღვრე არხების სარეაბილიტაციო სამუშაოები</t>
  </si>
  <si>
    <t xml:space="preserve">ქალაქ ქობულეთში მდებარე მრავალბინიანი საცხოვრებელი სახლების წყალ–კანალიზაციის სისტემის რეაბილიტაციის საპროექტო–სახარჯთაღრიცხვო დოკუმენტაციის შედგენა  </t>
  </si>
  <si>
    <t>ქალაქ ქობულეთში მდებარე მრავალბინიანი საცხოვრებელი სახლების წყალ–კანალიზაციის სისტემის რეაბილიტაცია</t>
  </si>
  <si>
    <t>ქალაქ ქობულეთში რკინიგზის სადგურიდან ჯინჭარაძის ქუჩის ჩათვლით მდებარე ტერიტორიის (საავადმყოფოს უბნის გარდა) სანიაღვრე კანალიზაციის მუშა პროექტის მომზადება</t>
  </si>
  <si>
    <t xml:space="preserve">მრავალბინიანი საცხოვრებელი სახლების სადეზინფექციო ღონისძიებები </t>
  </si>
  <si>
    <t xml:space="preserve">"ჩოლოქი"–ს მიმდებარე ტერიტორიაზე თავისუფალი ტურისტული ზონის მოწყობის მიზნით წინა მოსამზადებელი სამუშაოების განხორციელება </t>
  </si>
  <si>
    <t>სოციალურად დაუცველი ფენისათვის მუნიციპალური უფასო სასადილოს პროგრამა</t>
  </si>
  <si>
    <t>ეპილეფსიით დაავადებულ
პაციენტთა სპეციფიკური
მედიკამენტებით უზრუნველყოფა</t>
  </si>
  <si>
    <t>მემორიალის შემკობა 16 თებერვალს, 9 მაისს, 26 მაისს, 7 აგვისტოს და 27 სექტემბერს (5 ცალი გვირგვინი და 200 ვარდი)</t>
  </si>
  <si>
    <t>9 მაისს ფაშიზმზე გამარჯვებისადმი მიძღვნილი საზეიმო ბანკეტი 30 კაცზე</t>
  </si>
  <si>
    <t>საახალწლო დეკორაციიებისა და ნაძვისხის დემონტაჟი</t>
  </si>
  <si>
    <t>საერთო სახალხო ზეიმი "ბედობა ბათუმში"</t>
  </si>
  <si>
    <t>კულტურული ღონისძიებები</t>
  </si>
  <si>
    <t>პატრიოტთა ტრანსპორტირება</t>
  </si>
  <si>
    <t>სპორტული ღონისძიებები</t>
  </si>
  <si>
    <t>აზომვითი ნახაზების შედგენა</t>
  </si>
  <si>
    <t>დამოუკიდებელი აუდიტორული და ბუღალტრული დასკვნების შესყიდვა</t>
  </si>
  <si>
    <t>საბიუჯეტო ორგანიზაციის ფინანსების ბუღალტრული აღრიცხვის პროგრამული სისტემის შესყიდვა და არანაკლებ 3 კომპიუტერში ინსტალაცია</t>
  </si>
  <si>
    <t xml:space="preserve">საბიუჯეტო ორგანიზაციის ფინანსების ბუღალტრული აღრიცხვის პროგრამული სისტემის გამოყენებისათვის პროგრამულ მოდულთან მუშაობის სწავლება. </t>
  </si>
  <si>
    <t>ექსპერტიზის ხარჯი (სსიპ ლევან სამხარაულის ექსპერტიზის სააგენტო)</t>
  </si>
  <si>
    <t>მიწათსარგებლობისა და მშენებლობის გენერალური გეგმის შედგენა</t>
  </si>
  <si>
    <t>მუნიციპალიტეტის უძრავი ქონების (არასასოფლო–სამეურნეო დანიშნულების მიწის) რეგისტრაციასთან დაკავშირებული ხარჯი (გარემოს დაცვის ეროვნული სააგენტო)</t>
  </si>
  <si>
    <t>პერიოდული ლიტერატურის შეძენა</t>
  </si>
  <si>
    <t>ნორმატიული აქტების და სხვა სამართლებრივი დოკუმენტების გამოქვეყნება</t>
  </si>
  <si>
    <t>”საკანონმდებლო მაცნეს”
ვებგვერდზე განთავსებული
ნორმატიული აქტებით
სარგებლობისათვის საფასური</t>
  </si>
  <si>
    <t>პროგრამა "კოდექსი"–ს განახლება</t>
  </si>
  <si>
    <t>საკანცელარიო საქონელი</t>
  </si>
  <si>
    <t>მცირე ფასიანი საქონელი</t>
  </si>
  <si>
    <t>ტელევიზორი</t>
  </si>
  <si>
    <t>ტელეფონები</t>
  </si>
  <si>
    <t>ასლ გადამღები  კარტრიჯი</t>
  </si>
  <si>
    <t>ფოტო აპარატი</t>
  </si>
  <si>
    <t xml:space="preserve">კომპიუტერის მომსახურება </t>
  </si>
  <si>
    <t>საათი</t>
  </si>
  <si>
    <t>გამათბობელი ტექნიკა</t>
  </si>
  <si>
    <t>სავარძელი,  დივანი, სკამები, მაგიდა კარადები</t>
  </si>
  <si>
    <t xml:space="preserve">სანიტარულ ჰიგიენური საშუალებების შესყიდვა </t>
  </si>
  <si>
    <t>კონდენციონერი</t>
  </si>
  <si>
    <t>ჯ.პ.რ.ს. ნავიგატორი</t>
  </si>
  <si>
    <t>წყლის ცირკულატორი და ტუმბო</t>
  </si>
  <si>
    <t>სხვადასხვა სამეურნეო საქონელი</t>
  </si>
  <si>
    <t>შიდა საქალაქო და საქალაქთაშორისო კავშირები</t>
  </si>
  <si>
    <t>ინტერნეტი</t>
  </si>
  <si>
    <t xml:space="preserve">საფოსტო მომსახურება </t>
  </si>
  <si>
    <t>წარმომადგენლობითი ხარჯები</t>
  </si>
  <si>
    <t>საწვავის შესყიდვა ბენზინი, დიზელი</t>
  </si>
  <si>
    <t>ტრანსპორტის მოვლა–შენახვა</t>
  </si>
  <si>
    <t>კადრების მომზადება–გადამზადებასთან, კვალიფიკაციის ამაღლებასა და სტაჟირებასთან დაკავშირებული ხარჯი</t>
  </si>
  <si>
    <t>ადმინისტარციული შენობის დაცვა</t>
  </si>
  <si>
    <t>გაზეთ 24 საათში სადენდერო მასალების გამოქვეყნების ხარჯი</t>
  </si>
  <si>
    <t>წვევამდელთა სამედიცინო შემოწმება</t>
  </si>
  <si>
    <t xml:space="preserve">მაღალი გამავლობის ავტომანქანა </t>
  </si>
  <si>
    <t>მსუბუქი ავტომანქანა</t>
  </si>
  <si>
    <t>კომპიუტერის შეძენა</t>
  </si>
  <si>
    <t>შეშა</t>
  </si>
  <si>
    <t>შენობა ნაგებობის ტექნიკური
 პასპორტის დამზადება</t>
  </si>
  <si>
    <t>ასლგადამღები</t>
  </si>
  <si>
    <t>საწვავი ბენზინი</t>
  </si>
  <si>
    <t>წვევამდელთა გადაყვანა</t>
  </si>
  <si>
    <t xml:space="preserve">სარეკრიაციო ზონაში წყალსადენი მილების მონტაჟისათვის დ.აღმაშენებლის გამზირის გადაჭრის შემდეგ ასფალტობეტონის საფარის აღდგენითი სამუშაოები </t>
  </si>
  <si>
    <t>აღმაშენებლის გამზირიდან თამარ მეფის სანაპიროზე გადასასვლელების მოწყობა</t>
  </si>
  <si>
    <t xml:space="preserve">მუნიციპალიტეტის შენობა ნაგებობის ახალი სასმელი წყლის მაგისტრალზე გადართვის და დამატებითი მილების სამონტაჟო სამუშაოები </t>
  </si>
  <si>
    <t>დაბა ჩაქვში (დროებით იძულებით გადაადგილებულ პირთა ოჯახების) მრავალბინიანი საცხოვრებელი სახლის საკანალიზაციო შამბოს მოწყობა</t>
  </si>
  <si>
    <t>კარტრიჯები</t>
  </si>
  <si>
    <t>სავარძელი,  მაგიდა, კარადები</t>
  </si>
  <si>
    <t xml:space="preserve">ქობულეთის საბავშვო ბაღის (ყოფილი #3) გაზიფიკაცია </t>
  </si>
  <si>
    <t>ქაფწარმომქმნელი სითხის შესყიდვა</t>
  </si>
  <si>
    <t>ქობულეთის მუნიციპალიტეტის ხანძარსაწინააღმდეგო სამსახურის თანამშრომელთა დაზღვევა</t>
  </si>
  <si>
    <t>საათები</t>
  </si>
  <si>
    <t xml:space="preserve">6 ერთეული კომპიუტერის და ოთხი ცალი პრინტერის შეძენა </t>
  </si>
  <si>
    <t>აღმაშენებლის გამზირიდან თამარ მეფის სანაპიროზე გადასასვლელების მოწყობის საპროექტო–სახარჯთაღრიცხვო დოკუმენტაციის შედგენა</t>
  </si>
  <si>
    <r>
      <t xml:space="preserve">ტარიფის გაზრდა, საბიუჯეტო ცვლილება 17 მარტი 2011 წელი დადგენილება </t>
    </r>
    <r>
      <rPr>
        <sz val="10"/>
        <rFont val="AcadNusx"/>
        <family val="0"/>
      </rPr>
      <t>#</t>
    </r>
    <r>
      <rPr>
        <sz val="10"/>
        <rFont val="Sylfaen"/>
        <family val="1"/>
      </rPr>
      <t>19</t>
    </r>
  </si>
  <si>
    <r>
      <t>საბიუჯეტო ცვლილება 17 მარტი 2011 წელი დადგენილება</t>
    </r>
    <r>
      <rPr>
        <sz val="10"/>
        <rFont val="AcadNusx"/>
        <family val="0"/>
      </rPr>
      <t xml:space="preserve"> #</t>
    </r>
    <r>
      <rPr>
        <sz val="10"/>
        <rFont val="Sylfaen"/>
        <family val="1"/>
      </rPr>
      <t>19</t>
    </r>
  </si>
  <si>
    <r>
      <t>ამოღებულია საბიუჯეტო ცვლილება 17 მარტი 2011 წელი დადგენილება</t>
    </r>
    <r>
      <rPr>
        <sz val="10"/>
        <rFont val="AcadNusx"/>
        <family val="0"/>
      </rPr>
      <t xml:space="preserve"> #</t>
    </r>
    <r>
      <rPr>
        <sz val="10"/>
        <rFont val="Sylfaen"/>
        <family val="1"/>
      </rPr>
      <t>19</t>
    </r>
  </si>
  <si>
    <t>საოფისე  და კომპიუტერული მანქანები,  მოწყობილობები და მარაგი, ავეჯისა და პროგრამების პაკეტის გარდა</t>
  </si>
  <si>
    <t>გ. შ.</t>
  </si>
  <si>
    <t>სხვადასხვა დიამეტრის სასმელი წყლის მილების შესყიდვა</t>
  </si>
  <si>
    <t>2. შემსყიდველი ორგანიზაციის საიდენტიფიკაციო კოდი: 247001890</t>
  </si>
  <si>
    <t>4. დაფინანსების წყარო: სახელმწიფო ბიუჯეტი</t>
  </si>
  <si>
    <t xml:space="preserve">ავტობუსის გაჩერებებზე გადახურული მოსაცდელების მშენებლობა </t>
  </si>
  <si>
    <t>სოფელ სკურაში არსებული მოსაცდელის რემონტი</t>
  </si>
  <si>
    <t>სოფელ ცხრაფონაში არსებული მოსაცდელის რემონტი</t>
  </si>
  <si>
    <t xml:space="preserve">სოფელ ცხრაფონაში მოსაცდელის მშენებლობა </t>
  </si>
  <si>
    <t xml:space="preserve">სოფელ წყავროკაში სამი აგურის მოსაცდელის მშენებლობა </t>
  </si>
  <si>
    <t xml:space="preserve">სოფელ საჩინოში აგურის მოსაცდელის მშენებლობა </t>
  </si>
  <si>
    <t xml:space="preserve">სოფელ სკურაში მოსაცდელის მშენებლობა </t>
  </si>
  <si>
    <t xml:space="preserve">სოფელ ლეღვაში მოსაცდელის მშენებლობა </t>
  </si>
  <si>
    <t xml:space="preserve">სოფელ ზედა კვირიკეში ორი მოსაცდელის მშენებლობა </t>
  </si>
  <si>
    <t xml:space="preserve">სოფელ კვირიკეში ოთხი მოსაცდელის მშენებლობა </t>
  </si>
  <si>
    <t xml:space="preserve">სოფელ დაგვაში (მე–3 ბრიგადა) მოსაცდელის მშენებლობა </t>
  </si>
  <si>
    <t xml:space="preserve">სოფელ ქვედა კონდიდში ორი მოსაცდელის მშენებლობა </t>
  </si>
  <si>
    <t xml:space="preserve">ქვედა დაგვა მოსაცდელის მშენებლობა </t>
  </si>
  <si>
    <t xml:space="preserve">სოფელ ალამბარში სამი მოსაცდელის მშენებლობა </t>
  </si>
  <si>
    <t xml:space="preserve">ცეცხლაურში მოსაცდელის მშენებლობა </t>
  </si>
  <si>
    <t xml:space="preserve">ჯიხანჯურში მოსაცდელის მშენებლობა </t>
  </si>
  <si>
    <t xml:space="preserve">დაბა ოჩხამურში მოსაცდელის მშენებლობა </t>
  </si>
  <si>
    <t xml:space="preserve">სოფელ ქვედა აჭყვაში ოთხი მოსაცდელის მშენებლობა </t>
  </si>
  <si>
    <t xml:space="preserve">სოფელ ზედა აჭყვაში მოსაცდელის მშენებლობა </t>
  </si>
  <si>
    <t xml:space="preserve">სოფელ ნაცხავატევში მოსაცდელის მშენებლობა </t>
  </si>
  <si>
    <t xml:space="preserve">სოფელ ზედა სამებაში მოსაცდელის მშენებლობა </t>
  </si>
  <si>
    <t>სოფელ კოხში არსებული მოსაცდელის რეაბილიტაცია</t>
  </si>
  <si>
    <t xml:space="preserve">სოფელ ჩაისუბანში ექვსი მოსაცდელის მშენებლობა </t>
  </si>
  <si>
    <t>სოფელ შუაღელეში სოფლის ცენტრში ორი მოსაცდელის მშენებლობა</t>
  </si>
  <si>
    <t>სოფელ ოხტომში მოსაცდელის მშენებლობა</t>
  </si>
  <si>
    <t>სოფელ ხუცუბანში მოსაცდელის მშენებლობა</t>
  </si>
  <si>
    <t>სოფელ ქვედა სამებაში მოსაცდელის მშენებლობა</t>
  </si>
  <si>
    <r>
      <t xml:space="preserve">საქართველოს მთავრობის 2011 31 იანვარი </t>
    </r>
    <r>
      <rPr>
        <sz val="10"/>
        <rFont val="AcadNusx"/>
        <family val="0"/>
      </rPr>
      <t>#</t>
    </r>
    <r>
      <rPr>
        <sz val="10"/>
        <rFont val="Sylfaen"/>
        <family val="1"/>
      </rPr>
      <t>201 განკარგულება</t>
    </r>
  </si>
  <si>
    <t>დაბა ოჩხამურში აგურის დასახლებაში მინი სტადიონის მშენებლობა</t>
  </si>
  <si>
    <t>სოფელ ჯიხანჯურში მინი სტადიონის მშენებლობა</t>
  </si>
  <si>
    <t>სოფელ ცეცხლაურში მინი სტადიონის მშენებლობა</t>
  </si>
  <si>
    <t>დაბა ჩაქვში არსებული სპორტული მოედნების რეაბილიტაცია</t>
  </si>
  <si>
    <t>სოფელ ზედა კონდიდში მინი სტადიონის მშენებლობა</t>
  </si>
  <si>
    <t>სოფელ აჭყვისთავში მინი სტადიონის მშენებლობა</t>
  </si>
  <si>
    <t>სოფელ ქვედა კვირიკეში მინი სტადიონის მშენებლობა</t>
  </si>
  <si>
    <t>სოფელ ზედა სამებაში მინი სტადიონის რეაბილიტაცია</t>
  </si>
  <si>
    <t xml:space="preserve">სოფელ კოხში მინი სტადიონის რეაბილიტაცია           </t>
  </si>
  <si>
    <t>სოფელ ნაკაიძეებში მინი სტადიონის მშენებლობა</t>
  </si>
  <si>
    <t>სტადიონის მშენებლობა</t>
  </si>
  <si>
    <t xml:space="preserve">საზოგადოებრივი ტუალეტები </t>
  </si>
  <si>
    <t>დაბა ოჩხამურში საზოგადოებრივი ტუალეტის მშენებლობა</t>
  </si>
  <si>
    <t>სოფელ ცეცხლაურში საზოგადოებრივი ტუალეტის მშენებლობა</t>
  </si>
  <si>
    <t>დაბა ჩაქვში დაბის ცენტრში საზოგადოებრივი ტუალეტის მშენებლობა</t>
  </si>
  <si>
    <t>სოფელ ხუცუბანში საზოგადოებრივი ტუალეტის მშენებლობა</t>
  </si>
  <si>
    <t xml:space="preserve">გარე განათების მოწყობილობების მონტაჟი </t>
  </si>
  <si>
    <t>დაბა ჩაქვში მრავალბინიანი საცხოვრებელი სახლების ეზოების განათება</t>
  </si>
  <si>
    <t>სოფელ სახალვაშოს ცენტრალური გზის განათება</t>
  </si>
  <si>
    <t>სოფელ ქვედა კონდიდში მინი სტადიონისა და სოფლის ცენტრის განათების მოწყობა</t>
  </si>
  <si>
    <t>სოფელ დაგვას ცენტრის განათების მოწყობა</t>
  </si>
  <si>
    <t>სოფელ წყავროკაში მინი სტადიონისა და სოფლის ცენტრის განათების მოწყობა</t>
  </si>
  <si>
    <t xml:space="preserve">სოფელ ზედა სამებაში გარე განათების მოწყობა  </t>
  </si>
  <si>
    <t xml:space="preserve">სოფელ კოხში გარე განათების მოწყობა  </t>
  </si>
  <si>
    <t>ეკლიანი მავთული</t>
  </si>
  <si>
    <t>სოფელ ალამბარში სახნავი ფართობების შემოღობვის მიზნით ეკლიანი მავთულის შეძენა</t>
  </si>
  <si>
    <t>სოფელ ბობოყვათში სახნავი ფართობების შემოღობვის მიზნით ეკლიანი მავთულის შეძენა</t>
  </si>
  <si>
    <t>სოფელ მუხაესტატეში საყანე ფართობების შემოღობვის მიზნით ეკლიანი მავთულის შეძენა</t>
  </si>
  <si>
    <t>სოფელ ზედა სამებაში სახნავი ფართობების შემოღობვის მიზნით ეკლიანი მავთულის შეძენა</t>
  </si>
  <si>
    <t>სოფელ ხალას სასაფლაოს შემოღობვა</t>
  </si>
  <si>
    <t>სოფელ ჩაქვისთავის სასაფლაოს შემოღობვა</t>
  </si>
  <si>
    <t>დაბა ოჩხამურში აგვისტოს ომში დაღუპულთა მემორიალის მოწყობა</t>
  </si>
  <si>
    <t>დაბა ჩაქვში აღმაშენებლის ქუჩის ტროტუარის მოწყობა</t>
  </si>
  <si>
    <t>სოფელ ბუკნარის მოსახლეობასთან დამაკავშირებელი კიბეების აღდგენა და განათება</t>
  </si>
  <si>
    <t>სოფელ ბუკნარის ცენტრში ბილიკებისა და მემორიალური დაფის აღდგენა</t>
  </si>
  <si>
    <t>სოფელ ბობოყვათის ამბულატორიაში და კულტურის სახლში ბუნებრივი აირის შეყვანა</t>
  </si>
  <si>
    <t>დაბა ოჩხამურის მაგისტრალური წყალმომარაგების სისტემის სარეაბილიტაციო სამუშაოების (მე–2 ეტაპი) საპროექტო – სახარჯთაღრიცხვო დოკუმენტაციის მომზადება</t>
  </si>
  <si>
    <t>სოფელ ლეღვას მაგისტრალური წყალმომარაგების სისტემის სარეაბილიტაციო სამუშაოების  საპროექტო – სახარჯთაღრიცხვო დოკუმენტაციის მომზადება</t>
  </si>
  <si>
    <t>სოფელ წყავროკას მაგისტრალური წყალმომარაგების სისტემის სარეაბილიტაციო სამუშაოების  საპროექტო – სახარჯთაღრიცხვო დოკუმენტაციის მომზადება</t>
  </si>
  <si>
    <r>
      <t xml:space="preserve">ქალაქ ქობულეთში თამარ მეფის სანაპიროს 2900 მეტრიანი მონაკვეთის (დავით აღმაშენებლის </t>
    </r>
    <r>
      <rPr>
        <sz val="10"/>
        <rFont val="AcadNusx"/>
        <family val="0"/>
      </rPr>
      <t>#</t>
    </r>
    <r>
      <rPr>
        <sz val="10"/>
        <rFont val="Sylfaen"/>
        <family val="1"/>
      </rPr>
      <t>275–</t>
    </r>
    <r>
      <rPr>
        <sz val="10"/>
        <rFont val="AcadNusx"/>
        <family val="0"/>
      </rPr>
      <t>#</t>
    </r>
    <r>
      <rPr>
        <sz val="10"/>
        <rFont val="Sylfaen"/>
        <family val="1"/>
      </rPr>
      <t>301 მოპირდაპირედ) ჯებირისა და სანაპიროს სავალი ნაწილის რეაბილიტაცია – მშენებლობის საპროექტო – სახარჯთაღრიცხვო დოკუმენტაციის მომზადება</t>
    </r>
  </si>
  <si>
    <r>
      <t xml:space="preserve">ქალაქ ქობულეთში დავით აღმაშენებლის </t>
    </r>
    <r>
      <rPr>
        <sz val="10"/>
        <rFont val="AcadNusx"/>
        <family val="0"/>
      </rPr>
      <t>#</t>
    </r>
    <r>
      <rPr>
        <sz val="10"/>
        <rFont val="Sylfaen"/>
        <family val="1"/>
      </rPr>
      <t>141–ის მოპირდაპირედ მოედანზე კეთილმოწყობითი სამუშაოების საპროექტო – სახარჯთაღრიცხვო დოკუმენტაციის მომზადება</t>
    </r>
  </si>
  <si>
    <t>ქალაქ ქობულეთში მეგობრობის ქუჩის პარალელურად ზღვისპირა პარკის 640 მეტრიანი მონაკვეთის კეთილმოწყობითი სამუშაოების საპროექტო – სახარჯთაღრიცხვო დოკუმენტაციის მომზადება</t>
  </si>
  <si>
    <t>დაბა ჩაქვში თამარ მეფის ქუჩის 2150 მეტრიანი მონაკვეთის (აგს "რომპეტროლი", ხიდი მდინარე ჩაქვისწყალი) ტროტუარის სარეაბილიტაციო სამუშაოების საპროექტო – სახარჯთაღრიცხვო დოკუმენტაციის მომზადება</t>
  </si>
  <si>
    <t xml:space="preserve">სოფელ ბობოყვათის წყლის სათავე ნაგებობის შეკეთება </t>
  </si>
  <si>
    <t>სოფელ ბობოყვათის ამბულატორიის საქვაბეს მშენებლობა</t>
  </si>
  <si>
    <t xml:space="preserve"> მუსიკალური ინსტრუმენტები, სპორტული საქონელი, თამაშები, სათამაშოები, ხელოვნების ნაწარმოებების შესაქმნელად საჭირო მასალები და აქსესუარები
</t>
  </si>
  <si>
    <t xml:space="preserve">წყლის ავზები/ცისტერნები </t>
  </si>
  <si>
    <t>სოფლის პროგრამის ფარგლებში შესასრულებელი სამუშაოების საპროექტო–სახარჯთაღრიცხვო დოკუმენტაციის შედგენა</t>
  </si>
  <si>
    <t>დაბა ოჩხამური</t>
  </si>
  <si>
    <t>დაბა ჩაქვი</t>
  </si>
  <si>
    <t>სოფელ ბუკნარში მოსაცდელის მშენებლობა</t>
  </si>
  <si>
    <t>აჭყვისთავი</t>
  </si>
  <si>
    <t>ბობოყვათი</t>
  </si>
  <si>
    <t>გვარა</t>
  </si>
  <si>
    <t>დაგვა</t>
  </si>
  <si>
    <t>ზენითი</t>
  </si>
  <si>
    <t>კვირიკე</t>
  </si>
  <si>
    <t>ლეღვა</t>
  </si>
  <si>
    <t>მუხაესტატე</t>
  </si>
  <si>
    <t>საჩინო</t>
  </si>
  <si>
    <t>ქაქუთი</t>
  </si>
  <si>
    <t xml:space="preserve">ალამბარი </t>
  </si>
  <si>
    <t>სოფ. ქობულეთი</t>
  </si>
  <si>
    <t>ჩაისუბანი</t>
  </si>
  <si>
    <t>ციხისძირი</t>
  </si>
  <si>
    <t>ჭახათი</t>
  </si>
  <si>
    <t>ხალა</t>
  </si>
  <si>
    <t>ხუცუბანი</t>
  </si>
  <si>
    <t>სოფელ დაგვას 9 წლიანი სკოლის სახურავის შეცვლა</t>
  </si>
  <si>
    <t>სოფელ დაგვას წყლის სათავე ნაგებობის შეკეთება</t>
  </si>
  <si>
    <t>სოფელ დაგვას საჯარო სკოლის სპორტული დარბაზის იატაკის რეაბილიტაცია</t>
  </si>
  <si>
    <t>სოფელ დაგვას ხიდებზე მოაჯირების აღდგენა</t>
  </si>
  <si>
    <t>სოფელ წყავროკას წყლის 180 ტონიანი რეზერვუარების რეაბილიტაციის დასრულება</t>
  </si>
  <si>
    <t>სოფელ ქვედა აჭყვას ბასეინის რემონტი</t>
  </si>
  <si>
    <t>სოფელ აჭის სკოლის წინა ფასადის მოპირკეთება ონდულინით</t>
  </si>
  <si>
    <t>სოფელ ქობულეთის კულტურის სახლის რემონტი</t>
  </si>
  <si>
    <t>სოფელ ჩაისუბანში კლუბის რემონტი და ინვენტარის შეძენა</t>
  </si>
  <si>
    <t>ციხისძირის თემში სტალინის უბანში სოფლის კლუბის რემონტი</t>
  </si>
  <si>
    <t>სოფელ ჭახათის კლუბის რეაბილიტაცია</t>
  </si>
  <si>
    <t>სოფელ ვარჯანაულში 2 ტონიანი წყლის ავზის მშენებლობა</t>
  </si>
  <si>
    <t>სოფელ კეჭიეთის 1 კილომეტრიანი შიდა გზის შეკეთება</t>
  </si>
  <si>
    <t>სოფელ ხალას კულტურის სახლის რეაბილიტაცია და ინვენტარის შეძენა</t>
  </si>
  <si>
    <t>სოფელ გორგაძეების საავტომობილო გზის დაზიანებული მონაკვეთების ბეტონის საფარით შეკეთება</t>
  </si>
  <si>
    <t xml:space="preserve">სოფელ ხუცუბნის კულტურის სახლის რეაბილიტაცია (პირველი ეტაპი)                                 </t>
  </si>
  <si>
    <t>სოფელ ქვედა სამების საჯარო სკოლის სპორტული დარბაზის რემონტი</t>
  </si>
  <si>
    <t xml:space="preserve">სოფელ ქვედა აჭყვაში წყლის დებეტის შესავსებად ორი ახალი ავზის შეძენა </t>
  </si>
  <si>
    <t>სოფელ ზედა აჭყვას კლუბისთვის ინვენტარის შეძენა</t>
  </si>
  <si>
    <t>სოფელ კოხის კულტურის სახლისათვის მუსიკალური აპარატურის შეძენა</t>
  </si>
  <si>
    <t>სოფელ ჩაისუბნის საბავშვო ბაღში ატრაქციონის მოწყობა</t>
  </si>
  <si>
    <t>სამშენებლო სამუშაოების წარმოება ისტორიული ძეგლზე ან მემორიალის მშენებლობა</t>
  </si>
  <si>
    <t xml:space="preserve">ფეხით მოსიარულეთა ბილიკების მშენებლობა </t>
  </si>
  <si>
    <t xml:space="preserve">შენობების შეღებვა </t>
  </si>
  <si>
    <t xml:space="preserve">ღობეების, ზღუდარების და დამცავი მოწყობილობების მონტაჟი </t>
  </si>
  <si>
    <t>წყლის გამანაწილებელ მილსადენებთან დაკავშირებული სამუშაოები</t>
  </si>
  <si>
    <t>ციხისძირის თემში სტალინის უბანში სოფლის ცენტრში სკვერის მოწყობა</t>
  </si>
  <si>
    <t>დამცავი საფარის დადება/გადაკვრა</t>
  </si>
  <si>
    <t xml:space="preserve"> გზის შეკეთების სამუშაოები </t>
  </si>
  <si>
    <t>ტანსაცმელი, ფეხსაცმელი, საბარგო ნივთები და აქსესუარები</t>
  </si>
  <si>
    <t xml:space="preserve">              18000000 
</t>
  </si>
  <si>
    <t>სპეცტანსაცმელი</t>
  </si>
  <si>
    <r>
      <t>საბიუჯეტო ცვლილება 29 მარტი 2011 წელი დადგენილება</t>
    </r>
    <r>
      <rPr>
        <sz val="10"/>
        <rFont val="AcadNusx Wd"/>
        <family val="0"/>
      </rPr>
      <t xml:space="preserve"> </t>
    </r>
    <r>
      <rPr>
        <sz val="10"/>
        <rFont val="AcadNusx"/>
        <family val="0"/>
      </rPr>
      <t>#</t>
    </r>
    <r>
      <rPr>
        <sz val="10"/>
        <rFont val="Sylfaen"/>
        <family val="1"/>
      </rPr>
      <t>23</t>
    </r>
  </si>
  <si>
    <t>დასაჯდომები, სკამები და მონათესავე პროდუქცია და თანმდევი ნაწილები</t>
  </si>
  <si>
    <t>კონკურსი</t>
  </si>
  <si>
    <t xml:space="preserve">მილები და ფასონური ნაწილები/ფიტინგები
</t>
  </si>
  <si>
    <t xml:space="preserve">                                                    44163000
</t>
  </si>
  <si>
    <t>სოფელ ბუკნარის კლუბის (ყოფილი ადმინისტრაციული შენობის) წინა ფასადის შეღებვა</t>
  </si>
  <si>
    <t xml:space="preserve">სოფელ კვირიკეს კლუბის (ყოფილი ადმინისტრაციული შენობა) რემონტი </t>
  </si>
  <si>
    <t xml:space="preserve">სოფელ ზედა კვირიკეს კლუბის დარბაზის რემონტი </t>
  </si>
  <si>
    <t xml:space="preserve">სოფელ ჩაქვისთავში სოფლის ხიდის რეაბილიტაცია </t>
  </si>
  <si>
    <t>სოფელ ცხრაფონას შიდა სასოფლო გზების რეაბილიტაცია (მოხრეშვა-მოშანდაგება)</t>
  </si>
  <si>
    <t xml:space="preserve">ხიდის განახლების სამუშაოები </t>
  </si>
  <si>
    <t xml:space="preserve">ბილიკების ზედაპირებთან დაკავშირებული სამუშაოები </t>
  </si>
  <si>
    <t xml:space="preserve">სათამაშო მოედნის აღჭურვილობა </t>
  </si>
  <si>
    <t xml:space="preserve">შენობის მოწყობის სამუშაოები </t>
  </si>
  <si>
    <t xml:space="preserve">                                                                 სახურავის გადახურვა
</t>
  </si>
  <si>
    <t>იატაკის დაგება</t>
  </si>
  <si>
    <t xml:space="preserve">გაზსადენების მშენებლობა </t>
  </si>
  <si>
    <t>სოფელ ალამბარის კლუბის (ყოფილი ადმინისტრაციული შენობის) რემონტი</t>
  </si>
  <si>
    <t xml:space="preserve"> სპორტული საქონელი და მოწყობილობები </t>
  </si>
  <si>
    <t>სოფელ ხალას კულტურის სახლის საჭიროებისათვის სპორტული ინვენტარი</t>
  </si>
  <si>
    <t>ქ.ქობულეთის ნაპირსამაგრი სამუშაოები</t>
  </si>
  <si>
    <t>მუნიციპალიტეტის ტერიტორიაზე ღობეების და შენობის ფასადების შეღებვითი სამუშაოების პროგრამა</t>
  </si>
  <si>
    <t>სანაგვე ურნების განთავსებისათვის შეჭრების ადგილების მოწყობა</t>
  </si>
  <si>
    <t xml:space="preserve">ქობულეთის მუნიციპალიტეტში საგზაო ნიშნების შეძენა-მონტაჟი </t>
  </si>
  <si>
    <t>სამეურნეო-ფეკალური კანალიზაციის სისტემის კაპიტალური შეკეთება</t>
  </si>
  <si>
    <t>გაზმომარაგების  ხაზოვანი ნაგებობებისა და მიწების აზომვების მიზნით</t>
  </si>
  <si>
    <t>საპრივატიზაციო ობიექტების შეფასების მიზნით აუდიტორული მომსახურება</t>
  </si>
  <si>
    <t xml:space="preserve">ქალაქ ქობულეთში 9 აპრილის ქუჩის კვეთიდან რკინიგზის გადასასვლელამდე თავისუფლების ქუჩის  მონაკვეთის რეაბილიტაციის სამუშაოები </t>
  </si>
  <si>
    <t xml:space="preserve">ქალაქ ქობულეთში აღმაშენებლის გამზირის კვეთიდან რუსთაველის ქუჩის კვეთამდე ვერულიძის ქუჩის 156 მ-იანი მონაკვეთის რეაბილიტაცის სამუშაოები  </t>
  </si>
  <si>
    <t>კომპიუტერული ქსელის პასიური მოწყობილობების შეძენა (მონტაჟი) და აქტიური მოწყობილობებით უზრუნველყოფა</t>
  </si>
  <si>
    <t>მუნიციპალიტეტის ადმინისტრაციული შენობის რემონტი</t>
  </si>
  <si>
    <t>სოფელ ქაქუთის სახიდე გადასასვლელის რეაბილიტაცია</t>
  </si>
  <si>
    <t>კომპიუტერები, ასლგადამღები, პრინტერი</t>
  </si>
  <si>
    <t>კონდენციონერი 11 ცალი</t>
  </si>
  <si>
    <t xml:space="preserve">ბენზინი </t>
  </si>
  <si>
    <t xml:space="preserve">მანქანების რემონტი </t>
  </si>
  <si>
    <t>მაცივარი</t>
  </si>
  <si>
    <t>ავეჯი</t>
  </si>
  <si>
    <t>ფოტოაპარატი</t>
  </si>
  <si>
    <t>ქაღალდის გამანადგურებელი</t>
  </si>
  <si>
    <t>წვევამდელთა ტრანსპორტირება</t>
  </si>
  <si>
    <t>შიდა ქსელის მოწყობა</t>
  </si>
  <si>
    <t>სახანძრო სახელურების შეძენა</t>
  </si>
  <si>
    <t>დაბა ჩაქვში ბათუმის ქუჩა #18-ში მდებარე მრავალბინიანი საცხოვრებელი სახლისათვის    საკანალიზაციო შამბოს მოწყობა V=21 კუბ.მ</t>
  </si>
  <si>
    <t>დაბა ჩაქვში ბათუმის ქუჩა #18-ში მდებარე მრავალბინიანი საცხოვრებელი სახლის გვერდითი ფასადის გონდოლინით მოპირკეთება</t>
  </si>
  <si>
    <t xml:space="preserve">                                                                                                   გზის შეკეთების სამუშაოები
</t>
  </si>
  <si>
    <t>ავტობუსის გაჩერებებზე გადახურული მოსაცდელების მშენებლობა</t>
  </si>
  <si>
    <t xml:space="preserve"> ჯებირები</t>
  </si>
  <si>
    <t xml:space="preserve"> სამშენებლო სამუშაოები სახლებისთვის </t>
  </si>
  <si>
    <t xml:space="preserve">                                                                                               საგზაო ნიშნები
</t>
  </si>
  <si>
    <t>სამეურნეო საქონელი</t>
  </si>
  <si>
    <t>ბენზინი</t>
  </si>
  <si>
    <t>09132000</t>
  </si>
  <si>
    <t xml:space="preserve">მაცივარ-საყინულეები </t>
  </si>
  <si>
    <t xml:space="preserve"> საოფისე ავეჯი </t>
  </si>
  <si>
    <t xml:space="preserve"> საოფისე მანქანები, კომპიუტერების, პრინტერებისა და ავეჯის გარდა
</t>
  </si>
  <si>
    <t xml:space="preserve">ადგილობრივი (კომპიუტერული) ქსელი
</t>
  </si>
  <si>
    <t xml:space="preserve"> საკანალიზაციო სამუშაოები </t>
  </si>
  <si>
    <t>4 ერთეული ჰიდრანტის სადგომის დამონტაჟება</t>
  </si>
  <si>
    <t xml:space="preserve">სახანძრო ჰიდრანტები </t>
  </si>
  <si>
    <t>ქაღალდის ან მუყაოს სარეგისტრაციო ჟურნალები/წიგნები, საბუღალტრო წიგნები, ფორმები და სხვა ნაბეჭდი საკანცელარიო ნივთები</t>
  </si>
  <si>
    <t xml:space="preserve">ავტომობილებისა და მათთან დაკავშირებული მოწყობილობების შეკეთება და ტექნიკური მომსახურება </t>
  </si>
  <si>
    <t xml:space="preserve"> კომპიუტერული მოწყობილობები და მარაგი </t>
  </si>
  <si>
    <t xml:space="preserve">სარემონტო სამუშაოები </t>
  </si>
  <si>
    <t xml:space="preserve">აუდიტორული მომსახურება </t>
  </si>
  <si>
    <t>13 თვე</t>
  </si>
  <si>
    <t>ქალაქ ქობულეთში თავისუფალი ტურისტული ზონის ინფრასტრუქტურის მშენებლობის საპროექტო-სახართაღრიცხვო დოკუმენტაციის შედგენა</t>
  </si>
  <si>
    <t>ქალაქ ქობულეთში 9 აპრილის ქუჩის რეაბილიტაციის (სავალი ნაწილი, ტროტუარი) საპროექტო-სახართაღრიცხვო დოკუმენტაციის შედგენა</t>
  </si>
  <si>
    <t>საინჟინრო მომსახურებები</t>
  </si>
  <si>
    <t>ხელშეკრულება გაფორმებულია 2010 წლის 17 დეკემბერს, მიმწოდებელი შ.პ.ს. „მეოხი“, სახელშეკრულებო ღირებულებაა 1240021,92 ლარი, 150000 ლარი გათვალისწინებული იყო 2010 წლის ქობულეთის მუნიციპალიტეტის სახელმწიფო შესყიდვების გეგმაში</t>
  </si>
  <si>
    <t>ქალაქ ქობულეთში 9 აპრილის ქუჩის კვეთიდან რკინიგზის გადასასვლელამდე თავისუფლების ქუჩის  მონაკვეთის რეაბილიტაციის სამუშაოების  საპროექტო – სახარჯთაღრიცხვო დოკუმენტაციის მომზადება</t>
  </si>
  <si>
    <t xml:space="preserve">ქალაქ ქობულეთში აღმაშენებლის გამზირის კვეთიდან რუსთაველის ქუჩის კვეთამდე ვერულიძის ქუჩის 156 მ-იანი მონაკვეთის რეაბილიტაცის სამუშაოების  საპროექტო – სახარჯთაღრიცხვო დოკუმენტაციის მომზადება  </t>
  </si>
  <si>
    <t xml:space="preserve">მუნიციპალიტეტის ტერიტორიაზე ღობეების და შენობის ფასადების შეღებვითი სამუშაოების საპროექტო – სახარჯთაღრიცხვო დოკუმენტაციის მომზადება  </t>
  </si>
  <si>
    <t xml:space="preserve">გზის სამუშაოები </t>
  </si>
  <si>
    <t>4 ცალი კარტრიჯი</t>
  </si>
  <si>
    <t>7 თვე</t>
  </si>
  <si>
    <t>III კვ-IV კვ</t>
  </si>
  <si>
    <r>
      <t>საბიუჯეტო ცვლილება 17 ივნისი 2011 წელი დადგენილება</t>
    </r>
    <r>
      <rPr>
        <sz val="10"/>
        <rFont val="AcadNusx Wd"/>
        <family val="0"/>
      </rPr>
      <t xml:space="preserve"> </t>
    </r>
    <r>
      <rPr>
        <sz val="10"/>
        <rFont val="AcadNusx"/>
        <family val="0"/>
      </rPr>
      <t>#29</t>
    </r>
  </si>
  <si>
    <t>ძირითადი არაორგანული და ორგანული ქიმიკალები</t>
  </si>
  <si>
    <t>კვლევითი ლაბორატორიის მომსახურება</t>
  </si>
  <si>
    <t xml:space="preserve">                      73111000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</si>
</sst>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_(* #,##0_);_(* \(#,##0\);_(* &quot;-&quot;??_);_(@_)"/>
    <numFmt numFmtId="190" formatCode="#&quot; &quot;##0"/>
  </numFmts>
  <fonts count="31">
    <font>
      <sz val="10"/>
      <name val="Arial"/>
      <family val="0"/>
    </font>
    <font>
      <b/>
      <i/>
      <sz val="10"/>
      <name val="Arial"/>
      <family val="2"/>
    </font>
    <font>
      <b/>
      <sz val="10"/>
      <name val="Arial"/>
      <family val="2"/>
    </font>
    <font>
      <sz val="10"/>
      <name val="AcadNusx"/>
      <family val="0"/>
    </font>
    <font>
      <sz val="10"/>
      <name val="Sylfaen"/>
      <family val="1"/>
    </font>
    <font>
      <sz val="10"/>
      <color indexed="8"/>
      <name val="Sylfaen"/>
      <family val="1"/>
    </font>
    <font>
      <b/>
      <sz val="10"/>
      <name val="Sylfaen"/>
      <family val="1"/>
    </font>
    <font>
      <b/>
      <sz val="10"/>
      <name val="AcadNusx"/>
      <family val="0"/>
    </font>
    <font>
      <sz val="8"/>
      <name val="Arial"/>
      <family val="2"/>
    </font>
    <font>
      <b/>
      <i/>
      <sz val="10"/>
      <name val="AcadNusx"/>
      <family val="0"/>
    </font>
    <font>
      <sz val="10"/>
      <name val="AcadNusx Wd"/>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Sylfaen"/>
      <family val="1"/>
    </font>
    <font>
      <sz val="10"/>
      <color indexed="9"/>
      <name val="AcadNusx"/>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0" fillId="0" borderId="0">
      <alignment/>
      <protection/>
    </xf>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8" fillId="4" borderId="0" applyNumberFormat="0" applyBorder="0" applyAlignment="0" applyProtection="0"/>
  </cellStyleXfs>
  <cellXfs count="87">
    <xf numFmtId="0" fontId="0" fillId="0" borderId="0" xfId="0" applyAlignment="1">
      <alignment/>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locked="0"/>
    </xf>
    <xf numFmtId="0" fontId="4" fillId="0" borderId="10" xfId="33"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locked="0"/>
    </xf>
    <xf numFmtId="0" fontId="4" fillId="0" borderId="0" xfId="0" applyFont="1" applyFill="1" applyAlignment="1">
      <alignment horizontal="center" vertical="center" wrapText="1"/>
    </xf>
    <xf numFmtId="0" fontId="3" fillId="0" borderId="0" xfId="0" applyFont="1" applyFill="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Border="1" applyAlignment="1">
      <alignment horizontal="center" vertical="center" wrapText="1"/>
    </xf>
    <xf numFmtId="0" fontId="0" fillId="0" borderId="0" xfId="0" applyAlignment="1">
      <alignment horizontal="center" vertical="center" wrapText="1"/>
    </xf>
    <xf numFmtId="3" fontId="4" fillId="0" borderId="10" xfId="0" applyNumberFormat="1"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0"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0" xfId="0" applyFont="1" applyFill="1" applyBorder="1" applyAlignment="1">
      <alignment horizontal="center" vertical="center" wrapText="1"/>
    </xf>
    <xf numFmtId="189" fontId="5" fillId="0" borderId="10" xfId="59"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33"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188" fontId="4" fillId="0" borderId="10" xfId="0" applyNumberFormat="1" applyFont="1" applyFill="1" applyBorder="1" applyAlignment="1">
      <alignment horizontal="left" vertical="center" wrapText="1"/>
    </xf>
    <xf numFmtId="0" fontId="29" fillId="0" borderId="10" xfId="0" applyFont="1" applyFill="1" applyBorder="1" applyAlignment="1">
      <alignment horizontal="center" vertical="center" wrapText="1"/>
    </xf>
    <xf numFmtId="188" fontId="29" fillId="0" borderId="10"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30" fillId="0" borderId="0" xfId="0" applyFont="1" applyFill="1" applyAlignment="1">
      <alignment horizontal="center" vertical="center" wrapText="1"/>
    </xf>
    <xf numFmtId="0" fontId="30" fillId="0" borderId="0" xfId="0" applyFont="1" applyFill="1" applyAlignment="1">
      <alignment horizontal="center" vertical="center" wrapText="1"/>
    </xf>
    <xf numFmtId="0" fontId="3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3" fontId="4" fillId="0" borderId="0" xfId="0" applyNumberFormat="1" applyFont="1" applyFill="1" applyAlignment="1">
      <alignment horizontal="center" vertical="center" wrapText="1"/>
    </xf>
    <xf numFmtId="188"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89" fontId="5" fillId="0" borderId="10" xfId="59" applyNumberFormat="1" applyFont="1" applyFill="1" applyBorder="1" applyAlignment="1">
      <alignment horizontal="center" vertical="center" wrapText="1"/>
    </xf>
    <xf numFmtId="189" fontId="5" fillId="0" borderId="10" xfId="59" applyNumberFormat="1" applyFont="1" applyFill="1" applyBorder="1" applyAlignment="1">
      <alignment vertical="center" wrapText="1"/>
    </xf>
    <xf numFmtId="189" fontId="11" fillId="0" borderId="10" xfId="59" applyNumberFormat="1" applyFont="1" applyFill="1" applyBorder="1" applyAlignment="1">
      <alignment vertical="center" wrapText="1"/>
    </xf>
    <xf numFmtId="189" fontId="4" fillId="0" borderId="10" xfId="0" applyNumberFormat="1" applyFont="1" applyFill="1" applyBorder="1" applyAlignment="1">
      <alignment horizontal="center" vertical="center" wrapText="1"/>
    </xf>
    <xf numFmtId="188" fontId="5" fillId="0" borderId="10" xfId="0" applyNumberFormat="1" applyFont="1" applyFill="1" applyBorder="1" applyAlignment="1">
      <alignment horizontal="center" vertical="center" wrapText="1"/>
    </xf>
    <xf numFmtId="190" fontId="5"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49" fontId="0" fillId="0" borderId="10"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9" fillId="0" borderId="0" xfId="0" applyFont="1" applyFill="1" applyAlignment="1">
      <alignment horizontal="right" vertical="center" wrapText="1"/>
    </xf>
    <xf numFmtId="0" fontId="7" fillId="0" borderId="0"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 fillId="0" borderId="0" xfId="0" applyFont="1" applyFill="1" applyAlignment="1">
      <alignment horizontal="righ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 fillId="0" borderId="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qeda 201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95</xdr:row>
      <xdr:rowOff>0</xdr:rowOff>
    </xdr:from>
    <xdr:ext cx="76200" cy="228600"/>
    <xdr:sp fLocksText="0">
      <xdr:nvSpPr>
        <xdr:cNvPr id="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4"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5"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6"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7"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8"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9"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0"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3"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4"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5"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6"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7"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8"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19"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0"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3"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4"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5"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6"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7"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8"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29"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0"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1"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95</xdr:row>
      <xdr:rowOff>0</xdr:rowOff>
    </xdr:from>
    <xdr:ext cx="76200" cy="228600"/>
    <xdr:sp fLocksText="0">
      <xdr:nvSpPr>
        <xdr:cNvPr id="32" name="Text Box 1"/>
        <xdr:cNvSpPr txBox="1">
          <a:spLocks noChangeArrowheads="1"/>
        </xdr:cNvSpPr>
      </xdr:nvSpPr>
      <xdr:spPr>
        <a:xfrm>
          <a:off x="3228975" y="812768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495300</xdr:colOff>
      <xdr:row>96</xdr:row>
      <xdr:rowOff>0</xdr:rowOff>
    </xdr:from>
    <xdr:ext cx="76200" cy="228600"/>
    <xdr:sp fLocksText="0">
      <xdr:nvSpPr>
        <xdr:cNvPr id="1"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2"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3"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4"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5"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6"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7"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8"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9"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0"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1"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2"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3"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4"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5"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495300</xdr:colOff>
      <xdr:row>96</xdr:row>
      <xdr:rowOff>0</xdr:rowOff>
    </xdr:from>
    <xdr:ext cx="76200" cy="228600"/>
    <xdr:sp fLocksText="0">
      <xdr:nvSpPr>
        <xdr:cNvPr id="16" name="Text Box 1"/>
        <xdr:cNvSpPr txBox="1">
          <a:spLocks noChangeArrowheads="1"/>
        </xdr:cNvSpPr>
      </xdr:nvSpPr>
      <xdr:spPr>
        <a:xfrm>
          <a:off x="3438525" y="8102917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amosaqveynebeli%20biujeti2011--#2\org2011-WL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g2011-WL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1_xarjebis_ganawileba-samsaxureb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orma-sofl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4321;&#4317;&#4324;&#4314;&#4312;&#4321;%20&#4318;&#4320;&#4317;&#4306;&#4320;&#4304;&#4315;&#4304;%202011%20&#4332;&#4308;&#4314;&#4312;\&#4321;&#4317;&#4324;&#4314;&#4312;&#4321;%20%20&#4318;&#4320;&#4317;&#4306;&#4320;&#4304;&#4315;&#4304;%20&#4308;&#4313;&#4317;&#4316;&#4317;&#4315;&#4312;&#4304;%20(da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VI 3"/>
      <sheetName val="funqcionaluri"/>
      <sheetName val="organizaciuli"/>
    </sheetNames>
    <sheetDataSet>
      <sheetData sheetId="2">
        <row r="1387">
          <cell r="G1387">
            <v>121400</v>
          </cell>
        </row>
        <row r="3275">
          <cell r="G3275">
            <v>4500</v>
          </cell>
        </row>
        <row r="3691">
          <cell r="G3691">
            <v>20000</v>
          </cell>
        </row>
        <row r="3851">
          <cell r="G3851">
            <v>18000</v>
          </cell>
        </row>
        <row r="3947">
          <cell r="G3947">
            <v>25000</v>
          </cell>
        </row>
        <row r="4139">
          <cell r="G4139">
            <v>120000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VI 3"/>
      <sheetName val="funqcionaluri"/>
      <sheetName val="organizaciuli"/>
    </sheetNames>
    <sheetDataSet>
      <sheetData sheetId="2">
        <row r="777">
          <cell r="G777">
            <v>20000</v>
          </cell>
        </row>
        <row r="1097">
          <cell r="G1097">
            <v>50000</v>
          </cell>
        </row>
        <row r="1451">
          <cell r="G1451">
            <v>800000</v>
          </cell>
        </row>
        <row r="2027">
          <cell r="G2027">
            <v>65000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SAKREBULO"/>
      <sheetName val="ADMINISTRACIULI"/>
      <sheetName val="TERITORIULI"/>
      <sheetName val="IURIDIULI "/>
      <sheetName val="SAFINANSO"/>
      <sheetName val="QONEBA"/>
      <sheetName val="INFRASTR"/>
      <sheetName val="ZEDAMXED"/>
      <sheetName val="KULTURA"/>
      <sheetName val="JANDACVA"/>
      <sheetName val="ARQITEQ"/>
      <sheetName val="SAXANZR"/>
      <sheetName val="SAMXEDRO"/>
    </sheetNames>
    <sheetDataSet>
      <sheetData sheetId="0">
        <row r="25">
          <cell r="D25">
            <v>6300</v>
          </cell>
        </row>
        <row r="26">
          <cell r="D26">
            <v>22860</v>
          </cell>
        </row>
        <row r="65">
          <cell r="D65">
            <v>6000</v>
          </cell>
        </row>
        <row r="80">
          <cell r="D80">
            <v>500</v>
          </cell>
        </row>
        <row r="86">
          <cell r="D86">
            <v>69600</v>
          </cell>
        </row>
        <row r="89">
          <cell r="D89">
            <v>3000</v>
          </cell>
        </row>
        <row r="90">
          <cell r="D90">
            <v>9900</v>
          </cell>
        </row>
        <row r="94">
          <cell r="D94">
            <v>12600</v>
          </cell>
        </row>
        <row r="95">
          <cell r="D95">
            <v>6000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ma 1"/>
      <sheetName val="forma2"/>
    </sheetNames>
    <sheetDataSet>
      <sheetData sheetId="0">
        <row r="22">
          <cell r="M22">
            <v>22698</v>
          </cell>
        </row>
        <row r="23">
          <cell r="M23">
            <v>30000</v>
          </cell>
        </row>
        <row r="29">
          <cell r="M29">
            <v>3000</v>
          </cell>
        </row>
        <row r="31">
          <cell r="M31">
            <v>15855</v>
          </cell>
        </row>
        <row r="35">
          <cell r="M35">
            <v>4400</v>
          </cell>
        </row>
        <row r="36">
          <cell r="M36">
            <v>16006</v>
          </cell>
        </row>
        <row r="41">
          <cell r="M41">
            <v>11017</v>
          </cell>
        </row>
        <row r="42">
          <cell r="M42">
            <v>3000</v>
          </cell>
        </row>
        <row r="43">
          <cell r="M43">
            <v>6000</v>
          </cell>
        </row>
        <row r="45">
          <cell r="M45">
            <v>2000</v>
          </cell>
        </row>
        <row r="46">
          <cell r="M46">
            <v>4500</v>
          </cell>
        </row>
        <row r="50">
          <cell r="M50">
            <v>21300</v>
          </cell>
        </row>
        <row r="52">
          <cell r="M52">
            <v>2892</v>
          </cell>
        </row>
        <row r="55">
          <cell r="M55">
            <v>18287</v>
          </cell>
        </row>
        <row r="56">
          <cell r="M56">
            <v>1500</v>
          </cell>
        </row>
        <row r="58">
          <cell r="M58">
            <v>1500</v>
          </cell>
        </row>
        <row r="59">
          <cell r="M59">
            <v>1500</v>
          </cell>
        </row>
        <row r="61">
          <cell r="M61">
            <v>1200</v>
          </cell>
        </row>
        <row r="67">
          <cell r="M67">
            <v>11422</v>
          </cell>
        </row>
        <row r="72">
          <cell r="M72">
            <v>5000</v>
          </cell>
        </row>
        <row r="82">
          <cell r="M82">
            <v>6500</v>
          </cell>
        </row>
        <row r="85">
          <cell r="M85">
            <v>1878</v>
          </cell>
        </row>
        <row r="86">
          <cell r="M86">
            <v>4308</v>
          </cell>
        </row>
        <row r="87">
          <cell r="M87">
            <v>5545</v>
          </cell>
        </row>
        <row r="92">
          <cell r="M92">
            <v>1500</v>
          </cell>
        </row>
        <row r="93">
          <cell r="M93">
            <v>5513</v>
          </cell>
        </row>
        <row r="106">
          <cell r="M106">
            <v>4995</v>
          </cell>
        </row>
        <row r="109">
          <cell r="M109">
            <v>34360</v>
          </cell>
        </row>
        <row r="111">
          <cell r="M111">
            <v>1500</v>
          </cell>
        </row>
        <row r="112">
          <cell r="M112">
            <v>2500</v>
          </cell>
        </row>
        <row r="117">
          <cell r="M117">
            <v>2000</v>
          </cell>
        </row>
        <row r="118">
          <cell r="M118">
            <v>8925</v>
          </cell>
        </row>
        <row r="121">
          <cell r="M121">
            <v>15118</v>
          </cell>
        </row>
        <row r="122">
          <cell r="M122">
            <v>6000</v>
          </cell>
        </row>
        <row r="125">
          <cell r="M125">
            <v>10000</v>
          </cell>
        </row>
        <row r="126">
          <cell r="M126">
            <v>21964</v>
          </cell>
        </row>
        <row r="130">
          <cell r="M130">
            <v>12840</v>
          </cell>
        </row>
        <row r="135">
          <cell r="M135">
            <v>3800</v>
          </cell>
        </row>
        <row r="137">
          <cell r="M137">
            <v>4000</v>
          </cell>
        </row>
        <row r="146">
          <cell r="M146">
            <v>2675</v>
          </cell>
        </row>
        <row r="147">
          <cell r="M147">
            <v>2000</v>
          </cell>
        </row>
        <row r="148">
          <cell r="M148">
            <v>23258</v>
          </cell>
        </row>
        <row r="151">
          <cell r="M151">
            <v>39599</v>
          </cell>
        </row>
        <row r="154">
          <cell r="M154">
            <v>10120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orma 1"/>
      <sheetName val="Лист1"/>
    </sheetNames>
    <sheetDataSet>
      <sheetData sheetId="0">
        <row r="27">
          <cell r="H27">
            <v>1458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3"/>
  <sheetViews>
    <sheetView zoomScalePageLayoutView="0" workbookViewId="0" topLeftCell="B1">
      <selection activeCell="C29" sqref="C29"/>
    </sheetView>
  </sheetViews>
  <sheetFormatPr defaultColWidth="9.140625" defaultRowHeight="12.75"/>
  <cols>
    <col min="1" max="2" width="15.421875" style="15" customWidth="1"/>
    <col min="3" max="3" width="12.8515625" style="15" customWidth="1"/>
    <col min="4" max="5" width="11.28125" style="15" customWidth="1"/>
    <col min="6" max="10" width="9.140625" style="15" customWidth="1"/>
    <col min="11" max="11" width="11.8515625" style="15" customWidth="1"/>
    <col min="12" max="13" width="9.140625" style="15" customWidth="1"/>
    <col min="14" max="14" width="13.7109375" style="15" customWidth="1"/>
    <col min="15" max="16" width="10.8515625" style="15" customWidth="1"/>
    <col min="17" max="18" width="9.140625" style="15" customWidth="1"/>
    <col min="19" max="19" width="10.8515625" style="15" customWidth="1"/>
    <col min="20" max="16384" width="9.140625" style="15" customWidth="1"/>
  </cols>
  <sheetData>
    <row r="2" spans="1:19" s="3" customFormat="1" ht="39.75" customHeight="1">
      <c r="A2" s="2" t="s">
        <v>436</v>
      </c>
      <c r="B2" s="2" t="s">
        <v>437</v>
      </c>
      <c r="C2" s="2" t="s">
        <v>449</v>
      </c>
      <c r="D2" s="2" t="s">
        <v>439</v>
      </c>
      <c r="E2" s="2" t="s">
        <v>440</v>
      </c>
      <c r="F2" s="2" t="s">
        <v>441</v>
      </c>
      <c r="G2" s="2" t="s">
        <v>442</v>
      </c>
      <c r="H2" s="2" t="s">
        <v>443</v>
      </c>
      <c r="I2" s="2" t="s">
        <v>444</v>
      </c>
      <c r="J2" s="2" t="s">
        <v>445</v>
      </c>
      <c r="K2" s="2" t="s">
        <v>446</v>
      </c>
      <c r="L2" s="2" t="s">
        <v>447</v>
      </c>
      <c r="M2" s="2" t="s">
        <v>448</v>
      </c>
      <c r="N2" s="2" t="s">
        <v>450</v>
      </c>
      <c r="O2" s="2" t="s">
        <v>451</v>
      </c>
      <c r="P2" s="2" t="s">
        <v>452</v>
      </c>
      <c r="Q2" s="2" t="s">
        <v>453</v>
      </c>
      <c r="R2" s="2" t="s">
        <v>454</v>
      </c>
      <c r="S2" s="2" t="s">
        <v>455</v>
      </c>
    </row>
    <row r="3" spans="1:19" s="3" customFormat="1" ht="39.75" customHeight="1">
      <c r="A3" s="14">
        <f>'სახელმწიფო ბიუჯეტი'!E8+'სახელმწიფო ბიუჯეტი'!E9+'სახელმწიფო ბიუჯეტი'!E10+'სახელმწიფო ბიუჯეტი'!E35+'სახელმწიფო ბიუჯეტი'!E36+'სახელმწიფო ბიუჯეტი'!E37+'სახელმწიფო ბიუჯეტი'!E45+'სახელმწიფო ბიუჯეტი'!E46+'სახელმწიფო ბიუჯეტი'!E63</f>
        <v>75356</v>
      </c>
      <c r="B3" s="14" t="e">
        <f>'სახელმწიფო ბიუჯეტი'!E68+'სახელმწიფო ბიუჯეტი'!E67+'სახელმწიფო ბიუჯეტი'!#REF!+'სახელმწიფო ბიუჯეტი'!E66+'სახელმწიფო ბიუჯეტი'!E64+'სახელმწიფო ბიუჯეტი'!E50+'სახელმწიფო ბიუჯეტი'!E49+'სახელმწიფო ბიუჯეტი'!E47+'სახელმწიფო ბიუჯეტი'!E38+'სახელმწიფო ბიუჯეტი'!E11</f>
        <v>#REF!</v>
      </c>
      <c r="C3" s="16">
        <f>6600+'სახელმწიფო ბიუჯეტი'!E65+'სახელმწიფო ბიუჯეტი'!E57+'სახელმწიფო ბიუჯეტი'!E39+'სახელმწიფო ბიუჯეტი'!E12</f>
        <v>43529</v>
      </c>
      <c r="D3" s="2">
        <f>24309</f>
        <v>24309</v>
      </c>
      <c r="E3" s="14">
        <f>9000+9983+'სახელმწიფო ბიუჯეტი'!E13+'სახელმწიფო ბიუჯეტი'!E58+'სახელმწიფო ბიუჯეტი'!E69+'სახელმწიფო ბიუჯეტი'!E70+'სახელმწიფო ბიუჯეტი'!E71+'სახელმწიფო ბიუჯეტი'!E72</f>
        <v>47563</v>
      </c>
      <c r="F3" s="14">
        <f>1500+'სახელმწიფო ბიუჯეტი'!E14+'სახელმწიფო ბიუჯეტი'!E51+'სახელმწიფო ბიუჯეტი'!E73</f>
        <v>29578</v>
      </c>
      <c r="G3" s="16">
        <f>13550+'სახელმწიფო ბიუჯეტი'!E77+'სახელმწიფო ბიუჯეტი'!E76+'სახელმწიფო ბიუჯეტი'!E75+'სახელმწიფო ბიუჯეტი'!E74+'სახელმწიფო ბიუჯეტი'!E52+'სახელმწიფო ბიუჯეტი'!E15</f>
        <v>38869</v>
      </c>
      <c r="H3" s="2">
        <f>20209</f>
        <v>20209</v>
      </c>
      <c r="I3" s="14">
        <f>7000+8059+8925+'სახელმწიფო ბიუჯეტი'!E79+'სახელმწიფო ბიუჯეტი'!E78+'სახელმწიფო ბიუჯეტი'!E41+'სახელმწიფო ბიუჯეტი'!E17+'სახელმწიფო ბიუჯეტი'!E16</f>
        <v>83876</v>
      </c>
      <c r="J3" s="16">
        <f>33307+8959+3686+'სახელმწიფო ბიუჯეტი'!E95+'სახელმწიფო ბიუჯეტი'!E22+'სახელმწიფო ბიუჯეტი'!E21+'სახელმწიფო ბიუჯეტი'!E20+'სახელმწიფო ბიუჯეტი'!E19+'სახელმწიფო ბიუჯეტი'!E18</f>
        <v>63175</v>
      </c>
      <c r="K3" s="14">
        <f>27690+'სახელმწიფო ბიუჯეტი'!E23+'სახელმწიფო ბიუჯეტი'!E53+'სახელმწიფო ბიუჯეტი'!E59+'სახელმწიფო ბიუჯეტი'!E80</f>
        <v>51841</v>
      </c>
      <c r="L3" s="16">
        <f>11058+3000+7000+14500+'სახელმწიფო ბიუჯეტი'!E24+'სახელმწიფო ბიუჯეტი'!E25+'სახელმწიფო ბიუჯეტი'!E26+'სახელმწიფო ბიუჯეტი'!E81+'სახელმწიფო ბიუჯეტი'!E97+'სახელმწიფო ბიუჯეტი'!E98</f>
        <v>65653</v>
      </c>
      <c r="M3" s="16">
        <f>24438+2947+2650+4651+'სახელმწიფო ბიუჯეტი'!E82+'სახელმწიფო ბიუჯეტი'!E27</f>
        <v>42024</v>
      </c>
      <c r="N3" s="16">
        <f>6000+'სახელმწიფო ბიუჯეტი'!E99+'სახელმწიფო ბიუჯეტი'!E83+'სახელმწიფო ბიუჯეტი'!E60+'სახელმწიფო ბიუჯეტი'!E55+'სახელმწიფო ბიუჯეტი'!E54+'სახელმწიფო ბიუჯეტი'!E43+'სახელმწიფო ბიუჯეტი'!E42+'სახელმწიფო ბიუჯეტი'!E29+'სახელმწიფო ბიუჯეტი'!E28</f>
        <v>60506</v>
      </c>
      <c r="O3" s="14">
        <f>'სახელმწიფო ბიუჯეტი'!E100+'სახელმწიფო ბიუჯეტი'!E84+'სახელმწიფო ბიუჯეტი'!E30</f>
        <v>41229</v>
      </c>
      <c r="P3" s="16">
        <f>27606+8558+'სახელმწიფო ბიუჯეტი'!E31+'სახელმწიფო ბიუჯეტი'!E85+'სახელმწიფო ბიუჯეტი'!E86</f>
        <v>74294</v>
      </c>
      <c r="Q3" s="16">
        <f>2040+1770+642+5053+892+2314+2056+2322+'სახელმწიფო ბიუჯეტი'!E89+'სახელმწიფო ბიუჯეტი'!E88+'სახელმწიფო ბიუჯეტი'!E87+'სახელმწიფო ბიუჯეტი'!E32</f>
        <v>40728</v>
      </c>
      <c r="R3" s="16">
        <f>3400+2000+'სახელმწიფო ბიუჯეტი'!E96+'სახელმწიფო ბიუჯეტი'!E92+'სახელმწიფო ბიუჯეტი'!E91+'სახელმწიფო ბიუჯეტი'!E62+'სახელმწიფო ბიუჯეტი'!E61</f>
        <v>52233</v>
      </c>
      <c r="S3" s="16">
        <f>'სახელმწიფო ბიუჯეტი'!E33+'სახელმწიფო ბიუჯეტი'!E34+'სახელმწიფო ბიუჯეტი'!E44+'სახელმწიფო ბიუჯეტი'!E48+'სახელმწიფო ბიუჯეტი'!E93+'სახელმწიფო ბიუჯეტი'!E94</f>
        <v>80721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131"/>
  <sheetViews>
    <sheetView tabSelected="1" zoomScalePageLayoutView="0" workbookViewId="0" topLeftCell="A1">
      <selection activeCell="L6" sqref="L6"/>
    </sheetView>
  </sheetViews>
  <sheetFormatPr defaultColWidth="9.140625" defaultRowHeight="12.75"/>
  <cols>
    <col min="1" max="1" width="4.140625" style="12" customWidth="1"/>
    <col min="2" max="2" width="10.8515625" style="12" customWidth="1"/>
    <col min="3" max="3" width="26.00390625" style="12" customWidth="1"/>
    <col min="4" max="4" width="29.8515625" style="12" customWidth="1"/>
    <col min="5" max="5" width="12.28125" style="12" customWidth="1"/>
    <col min="6" max="6" width="10.7109375" style="12" customWidth="1"/>
    <col min="7" max="8" width="12.28125" style="12" customWidth="1"/>
    <col min="9" max="9" width="16.28125" style="12" customWidth="1"/>
    <col min="10" max="16384" width="9.140625" style="12" customWidth="1"/>
  </cols>
  <sheetData>
    <row r="1" spans="7:9" ht="19.5" customHeight="1">
      <c r="G1" s="66" t="s">
        <v>120</v>
      </c>
      <c r="H1" s="66"/>
      <c r="I1" s="66"/>
    </row>
    <row r="2" spans="1:9" ht="27.75" customHeight="1" thickBot="1">
      <c r="A2" s="67" t="s">
        <v>153</v>
      </c>
      <c r="B2" s="67"/>
      <c r="C2" s="67"/>
      <c r="D2" s="67"/>
      <c r="E2" s="67"/>
      <c r="F2" s="67"/>
      <c r="G2" s="67"/>
      <c r="H2" s="67"/>
      <c r="I2" s="67"/>
    </row>
    <row r="3" spans="1:9" s="11" customFormat="1" ht="38.25" customHeight="1" thickBot="1">
      <c r="A3" s="68" t="s">
        <v>144</v>
      </c>
      <c r="B3" s="69"/>
      <c r="C3" s="69"/>
      <c r="D3" s="70"/>
      <c r="E3" s="69" t="s">
        <v>358</v>
      </c>
      <c r="F3" s="69"/>
      <c r="G3" s="69"/>
      <c r="H3" s="69"/>
      <c r="I3" s="70"/>
    </row>
    <row r="4" spans="1:9" s="11" customFormat="1" ht="38.25" customHeight="1" thickBot="1">
      <c r="A4" s="68" t="s">
        <v>162</v>
      </c>
      <c r="B4" s="69"/>
      <c r="C4" s="69"/>
      <c r="D4" s="70"/>
      <c r="E4" s="68" t="s">
        <v>359</v>
      </c>
      <c r="F4" s="69"/>
      <c r="G4" s="69"/>
      <c r="H4" s="69"/>
      <c r="I4" s="70"/>
    </row>
    <row r="5" spans="1:9" s="11" customFormat="1" ht="38.25" customHeight="1" thickBot="1">
      <c r="A5" s="75" t="s">
        <v>143</v>
      </c>
      <c r="B5" s="76"/>
      <c r="C5" s="76"/>
      <c r="D5" s="76"/>
      <c r="E5" s="76"/>
      <c r="F5" s="76"/>
      <c r="G5" s="76"/>
      <c r="H5" s="76"/>
      <c r="I5" s="77"/>
    </row>
    <row r="6" spans="1:9" ht="87" customHeight="1" thickBot="1">
      <c r="A6" s="31" t="s">
        <v>161</v>
      </c>
      <c r="B6" s="32" t="s">
        <v>154</v>
      </c>
      <c r="C6" s="73" t="s">
        <v>155</v>
      </c>
      <c r="D6" s="74"/>
      <c r="E6" s="32" t="s">
        <v>156</v>
      </c>
      <c r="F6" s="32" t="s">
        <v>157</v>
      </c>
      <c r="G6" s="32" t="s">
        <v>158</v>
      </c>
      <c r="H6" s="32" t="s">
        <v>159</v>
      </c>
      <c r="I6" s="33" t="s">
        <v>160</v>
      </c>
    </row>
    <row r="7" spans="1:9" ht="15" customHeight="1">
      <c r="A7" s="34">
        <v>1</v>
      </c>
      <c r="B7" s="35">
        <v>2</v>
      </c>
      <c r="C7" s="71">
        <v>3</v>
      </c>
      <c r="D7" s="72"/>
      <c r="E7" s="35">
        <v>4</v>
      </c>
      <c r="F7" s="35">
        <v>5</v>
      </c>
      <c r="G7" s="35">
        <v>6</v>
      </c>
      <c r="H7" s="35">
        <v>7</v>
      </c>
      <c r="I7" s="36">
        <v>8</v>
      </c>
    </row>
    <row r="8" spans="1:9" ht="70.5" customHeight="1">
      <c r="A8" s="65">
        <v>1</v>
      </c>
      <c r="B8" s="65">
        <v>45213315</v>
      </c>
      <c r="C8" s="65" t="s">
        <v>360</v>
      </c>
      <c r="D8" s="5" t="s">
        <v>376</v>
      </c>
      <c r="E8" s="13">
        <f>3500-13-59</f>
        <v>3428</v>
      </c>
      <c r="F8" s="1" t="s">
        <v>166</v>
      </c>
      <c r="G8" s="1" t="s">
        <v>187</v>
      </c>
      <c r="H8" s="1" t="s">
        <v>192</v>
      </c>
      <c r="I8" s="1" t="s">
        <v>387</v>
      </c>
    </row>
    <row r="9" spans="1:9" ht="70.5" customHeight="1">
      <c r="A9" s="65"/>
      <c r="B9" s="65"/>
      <c r="C9" s="65"/>
      <c r="D9" s="5" t="s">
        <v>375</v>
      </c>
      <c r="E9" s="13">
        <f>3500-14-59</f>
        <v>3427</v>
      </c>
      <c r="F9" s="1" t="s">
        <v>166</v>
      </c>
      <c r="G9" s="1" t="s">
        <v>187</v>
      </c>
      <c r="H9" s="1" t="s">
        <v>192</v>
      </c>
      <c r="I9" s="1" t="s">
        <v>387</v>
      </c>
    </row>
    <row r="10" spans="1:9" ht="70.5" customHeight="1">
      <c r="A10" s="65"/>
      <c r="B10" s="65"/>
      <c r="C10" s="65"/>
      <c r="D10" s="5" t="s">
        <v>374</v>
      </c>
      <c r="E10" s="13">
        <f>3500-14-59</f>
        <v>3427</v>
      </c>
      <c r="F10" s="1" t="s">
        <v>166</v>
      </c>
      <c r="G10" s="1" t="s">
        <v>187</v>
      </c>
      <c r="H10" s="1" t="s">
        <v>192</v>
      </c>
      <c r="I10" s="1" t="s">
        <v>387</v>
      </c>
    </row>
    <row r="11" spans="1:9" ht="70.5" customHeight="1">
      <c r="A11" s="65">
        <v>1</v>
      </c>
      <c r="B11" s="65">
        <v>45213315</v>
      </c>
      <c r="C11" s="65" t="s">
        <v>360</v>
      </c>
      <c r="D11" s="5" t="s">
        <v>438</v>
      </c>
      <c r="E11" s="13">
        <f>2000-9-34</f>
        <v>1957</v>
      </c>
      <c r="F11" s="1" t="s">
        <v>166</v>
      </c>
      <c r="G11" s="1" t="s">
        <v>187</v>
      </c>
      <c r="H11" s="1" t="s">
        <v>192</v>
      </c>
      <c r="I11" s="1" t="s">
        <v>387</v>
      </c>
    </row>
    <row r="12" spans="1:9" ht="70.5" customHeight="1">
      <c r="A12" s="65"/>
      <c r="B12" s="65"/>
      <c r="C12" s="65"/>
      <c r="D12" s="5" t="s">
        <v>373</v>
      </c>
      <c r="E12" s="13">
        <f>7000-18-18-17-39-39-41</f>
        <v>6828</v>
      </c>
      <c r="F12" s="1" t="s">
        <v>166</v>
      </c>
      <c r="G12" s="1" t="s">
        <v>187</v>
      </c>
      <c r="H12" s="1" t="s">
        <v>192</v>
      </c>
      <c r="I12" s="1" t="s">
        <v>387</v>
      </c>
    </row>
    <row r="13" spans="1:9" ht="70.5" customHeight="1">
      <c r="A13" s="65"/>
      <c r="B13" s="65"/>
      <c r="C13" s="65"/>
      <c r="D13" s="5" t="s">
        <v>372</v>
      </c>
      <c r="E13" s="13">
        <f>3500-20-59</f>
        <v>3421</v>
      </c>
      <c r="F13" s="1" t="s">
        <v>166</v>
      </c>
      <c r="G13" s="1" t="s">
        <v>187</v>
      </c>
      <c r="H13" s="1" t="s">
        <v>192</v>
      </c>
      <c r="I13" s="1" t="s">
        <v>387</v>
      </c>
    </row>
    <row r="14" spans="1:9" ht="70.5" customHeight="1">
      <c r="A14" s="65"/>
      <c r="B14" s="65"/>
      <c r="C14" s="65"/>
      <c r="D14" s="5" t="s">
        <v>371</v>
      </c>
      <c r="E14" s="13">
        <f>5000-16-85</f>
        <v>4899</v>
      </c>
      <c r="F14" s="1" t="s">
        <v>166</v>
      </c>
      <c r="G14" s="1" t="s">
        <v>187</v>
      </c>
      <c r="H14" s="1" t="s">
        <v>192</v>
      </c>
      <c r="I14" s="1" t="s">
        <v>387</v>
      </c>
    </row>
    <row r="15" spans="1:9" ht="70.5" customHeight="1">
      <c r="A15" s="65"/>
      <c r="B15" s="65"/>
      <c r="C15" s="65"/>
      <c r="D15" s="5" t="s">
        <v>370</v>
      </c>
      <c r="E15" s="13">
        <f>2000-17-34</f>
        <v>1949</v>
      </c>
      <c r="F15" s="1" t="s">
        <v>166</v>
      </c>
      <c r="G15" s="1" t="s">
        <v>187</v>
      </c>
      <c r="H15" s="1" t="s">
        <v>192</v>
      </c>
      <c r="I15" s="1" t="s">
        <v>387</v>
      </c>
    </row>
    <row r="16" spans="1:9" ht="70.5" customHeight="1">
      <c r="A16" s="65"/>
      <c r="B16" s="65"/>
      <c r="C16" s="65"/>
      <c r="D16" s="5" t="s">
        <v>369</v>
      </c>
      <c r="E16" s="13">
        <f>14000-96-118-118</f>
        <v>13668</v>
      </c>
      <c r="F16" s="1" t="s">
        <v>166</v>
      </c>
      <c r="G16" s="1" t="s">
        <v>187</v>
      </c>
      <c r="H16" s="1" t="s">
        <v>192</v>
      </c>
      <c r="I16" s="1" t="s">
        <v>387</v>
      </c>
    </row>
    <row r="17" spans="1:9" ht="70.5" customHeight="1">
      <c r="A17" s="65">
        <v>1</v>
      </c>
      <c r="B17" s="65">
        <v>45213315</v>
      </c>
      <c r="C17" s="65" t="s">
        <v>360</v>
      </c>
      <c r="D17" s="5" t="s">
        <v>368</v>
      </c>
      <c r="E17" s="13">
        <f>7000-47-118</f>
        <v>6835</v>
      </c>
      <c r="F17" s="1" t="s">
        <v>166</v>
      </c>
      <c r="G17" s="1" t="s">
        <v>187</v>
      </c>
      <c r="H17" s="1" t="s">
        <v>192</v>
      </c>
      <c r="I17" s="1" t="s">
        <v>387</v>
      </c>
    </row>
    <row r="18" spans="1:9" ht="70.5" customHeight="1">
      <c r="A18" s="65"/>
      <c r="B18" s="65"/>
      <c r="C18" s="65"/>
      <c r="D18" s="5" t="s">
        <v>367</v>
      </c>
      <c r="E18" s="13">
        <f>2500-53-237</f>
        <v>2210</v>
      </c>
      <c r="F18" s="1" t="s">
        <v>166</v>
      </c>
      <c r="G18" s="1" t="s">
        <v>187</v>
      </c>
      <c r="H18" s="1" t="s">
        <v>192</v>
      </c>
      <c r="I18" s="1" t="s">
        <v>387</v>
      </c>
    </row>
    <row r="19" spans="1:9" ht="70.5" customHeight="1">
      <c r="A19" s="65"/>
      <c r="B19" s="65"/>
      <c r="C19" s="65"/>
      <c r="D19" s="5" t="s">
        <v>366</v>
      </c>
      <c r="E19" s="13">
        <f>3500-13-59</f>
        <v>3428</v>
      </c>
      <c r="F19" s="1" t="s">
        <v>166</v>
      </c>
      <c r="G19" s="1" t="s">
        <v>187</v>
      </c>
      <c r="H19" s="1" t="s">
        <v>192</v>
      </c>
      <c r="I19" s="1" t="s">
        <v>387</v>
      </c>
    </row>
    <row r="20" spans="1:9" ht="70.5" customHeight="1">
      <c r="A20" s="65"/>
      <c r="B20" s="65"/>
      <c r="C20" s="65"/>
      <c r="D20" s="5" t="s">
        <v>361</v>
      </c>
      <c r="E20" s="13">
        <f>1000-4-17</f>
        <v>979</v>
      </c>
      <c r="F20" s="1" t="s">
        <v>166</v>
      </c>
      <c r="G20" s="1" t="s">
        <v>187</v>
      </c>
      <c r="H20" s="1" t="s">
        <v>192</v>
      </c>
      <c r="I20" s="1" t="s">
        <v>387</v>
      </c>
    </row>
    <row r="21" spans="1:9" ht="70.5" customHeight="1">
      <c r="A21" s="65"/>
      <c r="B21" s="65"/>
      <c r="C21" s="65"/>
      <c r="D21" s="5" t="s">
        <v>363</v>
      </c>
      <c r="E21" s="13">
        <f>3000-24-51</f>
        <v>2925</v>
      </c>
      <c r="F21" s="1" t="s">
        <v>166</v>
      </c>
      <c r="G21" s="1" t="s">
        <v>187</v>
      </c>
      <c r="H21" s="1" t="s">
        <v>192</v>
      </c>
      <c r="I21" s="1" t="s">
        <v>387</v>
      </c>
    </row>
    <row r="22" spans="1:9" ht="70.5" customHeight="1">
      <c r="A22" s="65"/>
      <c r="B22" s="65"/>
      <c r="C22" s="65"/>
      <c r="D22" s="5" t="s">
        <v>362</v>
      </c>
      <c r="E22" s="13">
        <f>1343-6-21</f>
        <v>1316</v>
      </c>
      <c r="F22" s="1" t="s">
        <v>166</v>
      </c>
      <c r="G22" s="1" t="s">
        <v>187</v>
      </c>
      <c r="H22" s="1" t="s">
        <v>192</v>
      </c>
      <c r="I22" s="1" t="s">
        <v>387</v>
      </c>
    </row>
    <row r="23" spans="1:9" ht="70.5" customHeight="1">
      <c r="A23" s="65">
        <v>1</v>
      </c>
      <c r="B23" s="65">
        <v>45213315</v>
      </c>
      <c r="C23" s="65" t="s">
        <v>360</v>
      </c>
      <c r="D23" s="5" t="s">
        <v>364</v>
      </c>
      <c r="E23" s="13">
        <f>13500-50-76-76-76</f>
        <v>13222</v>
      </c>
      <c r="F23" s="1" t="s">
        <v>166</v>
      </c>
      <c r="G23" s="1" t="s">
        <v>187</v>
      </c>
      <c r="H23" s="1" t="s">
        <v>192</v>
      </c>
      <c r="I23" s="1" t="s">
        <v>387</v>
      </c>
    </row>
    <row r="24" spans="1:9" ht="70.5" customHeight="1">
      <c r="A24" s="65"/>
      <c r="B24" s="65"/>
      <c r="C24" s="65"/>
      <c r="D24" s="5" t="s">
        <v>365</v>
      </c>
      <c r="E24" s="13">
        <f>4500-26-76</f>
        <v>4398</v>
      </c>
      <c r="F24" s="1" t="s">
        <v>166</v>
      </c>
      <c r="G24" s="1" t="s">
        <v>187</v>
      </c>
      <c r="H24" s="1" t="s">
        <v>192</v>
      </c>
      <c r="I24" s="1" t="s">
        <v>387</v>
      </c>
    </row>
    <row r="25" spans="1:9" ht="70.5" customHeight="1">
      <c r="A25" s="65"/>
      <c r="B25" s="65"/>
      <c r="C25" s="65"/>
      <c r="D25" s="5" t="s">
        <v>377</v>
      </c>
      <c r="E25" s="13">
        <f>12000-99-236</f>
        <v>11665</v>
      </c>
      <c r="F25" s="1" t="s">
        <v>166</v>
      </c>
      <c r="G25" s="1" t="s">
        <v>187</v>
      </c>
      <c r="H25" s="1" t="s">
        <v>192</v>
      </c>
      <c r="I25" s="1" t="s">
        <v>387</v>
      </c>
    </row>
    <row r="26" spans="1:9" ht="70.5" customHeight="1">
      <c r="A26" s="65"/>
      <c r="B26" s="65"/>
      <c r="C26" s="65"/>
      <c r="D26" s="5" t="s">
        <v>378</v>
      </c>
      <c r="E26" s="13">
        <f>3500-24-59</f>
        <v>3417</v>
      </c>
      <c r="F26" s="1" t="s">
        <v>166</v>
      </c>
      <c r="G26" s="1" t="s">
        <v>187</v>
      </c>
      <c r="H26" s="1" t="s">
        <v>192</v>
      </c>
      <c r="I26" s="1" t="s">
        <v>387</v>
      </c>
    </row>
    <row r="27" spans="1:9" ht="70.5" customHeight="1">
      <c r="A27" s="65"/>
      <c r="B27" s="65"/>
      <c r="C27" s="65"/>
      <c r="D27" s="5" t="s">
        <v>379</v>
      </c>
      <c r="E27" s="13">
        <f>2500-9-42</f>
        <v>2449</v>
      </c>
      <c r="F27" s="1" t="s">
        <v>166</v>
      </c>
      <c r="G27" s="1" t="s">
        <v>187</v>
      </c>
      <c r="H27" s="1" t="s">
        <v>192</v>
      </c>
      <c r="I27" s="1" t="s">
        <v>387</v>
      </c>
    </row>
    <row r="28" spans="1:9" ht="70.5" customHeight="1">
      <c r="A28" s="65"/>
      <c r="B28" s="65"/>
      <c r="C28" s="65"/>
      <c r="D28" s="5" t="s">
        <v>380</v>
      </c>
      <c r="E28" s="13">
        <f>2000-13-34</f>
        <v>1953</v>
      </c>
      <c r="F28" s="1" t="s">
        <v>166</v>
      </c>
      <c r="G28" s="1" t="s">
        <v>187</v>
      </c>
      <c r="H28" s="1" t="s">
        <v>192</v>
      </c>
      <c r="I28" s="1" t="s">
        <v>387</v>
      </c>
    </row>
    <row r="29" spans="1:9" ht="70.5" customHeight="1">
      <c r="A29" s="65">
        <v>1</v>
      </c>
      <c r="B29" s="65">
        <v>45213315</v>
      </c>
      <c r="C29" s="65" t="s">
        <v>360</v>
      </c>
      <c r="D29" s="5" t="s">
        <v>381</v>
      </c>
      <c r="E29" s="13">
        <f>1700-6-29</f>
        <v>1665</v>
      </c>
      <c r="F29" s="1" t="s">
        <v>166</v>
      </c>
      <c r="G29" s="1" t="s">
        <v>187</v>
      </c>
      <c r="H29" s="1" t="s">
        <v>192</v>
      </c>
      <c r="I29" s="1" t="s">
        <v>387</v>
      </c>
    </row>
    <row r="30" spans="1:9" ht="70.5" customHeight="1">
      <c r="A30" s="65"/>
      <c r="B30" s="65"/>
      <c r="C30" s="65"/>
      <c r="D30" s="5" t="s">
        <v>382</v>
      </c>
      <c r="E30" s="13">
        <f>21000-90-356</f>
        <v>20554</v>
      </c>
      <c r="F30" s="1" t="s">
        <v>166</v>
      </c>
      <c r="G30" s="1" t="s">
        <v>187</v>
      </c>
      <c r="H30" s="1" t="s">
        <v>192</v>
      </c>
      <c r="I30" s="1" t="s">
        <v>387</v>
      </c>
    </row>
    <row r="31" spans="1:9" ht="70.5" customHeight="1">
      <c r="A31" s="65"/>
      <c r="B31" s="65"/>
      <c r="C31" s="65"/>
      <c r="D31" s="5" t="s">
        <v>383</v>
      </c>
      <c r="E31" s="13">
        <f>7000-41-119</f>
        <v>6840</v>
      </c>
      <c r="F31" s="1" t="s">
        <v>166</v>
      </c>
      <c r="G31" s="1" t="s">
        <v>187</v>
      </c>
      <c r="H31" s="1" t="s">
        <v>192</v>
      </c>
      <c r="I31" s="1" t="s">
        <v>387</v>
      </c>
    </row>
    <row r="32" spans="1:9" ht="70.5" customHeight="1">
      <c r="A32" s="65"/>
      <c r="B32" s="65"/>
      <c r="C32" s="65"/>
      <c r="D32" s="5" t="s">
        <v>384</v>
      </c>
      <c r="E32" s="13">
        <f>3500-14-59</f>
        <v>3427</v>
      </c>
      <c r="F32" s="1" t="s">
        <v>166</v>
      </c>
      <c r="G32" s="1" t="s">
        <v>187</v>
      </c>
      <c r="H32" s="1" t="s">
        <v>192</v>
      </c>
      <c r="I32" s="1" t="s">
        <v>387</v>
      </c>
    </row>
    <row r="33" spans="1:9" ht="70.5" customHeight="1">
      <c r="A33" s="65"/>
      <c r="B33" s="65"/>
      <c r="C33" s="65"/>
      <c r="D33" s="5" t="s">
        <v>385</v>
      </c>
      <c r="E33" s="13">
        <f>3500-14-59</f>
        <v>3427</v>
      </c>
      <c r="F33" s="1" t="s">
        <v>166</v>
      </c>
      <c r="G33" s="1" t="s">
        <v>187</v>
      </c>
      <c r="H33" s="1" t="s">
        <v>192</v>
      </c>
      <c r="I33" s="1" t="s">
        <v>387</v>
      </c>
    </row>
    <row r="34" spans="1:9" ht="70.5" customHeight="1">
      <c r="A34" s="65"/>
      <c r="B34" s="65"/>
      <c r="C34" s="65"/>
      <c r="D34" s="5" t="s">
        <v>386</v>
      </c>
      <c r="E34" s="13">
        <f>3500-14-60</f>
        <v>3426</v>
      </c>
      <c r="F34" s="1" t="s">
        <v>166</v>
      </c>
      <c r="G34" s="1" t="s">
        <v>187</v>
      </c>
      <c r="H34" s="1" t="s">
        <v>192</v>
      </c>
      <c r="I34" s="1" t="s">
        <v>387</v>
      </c>
    </row>
    <row r="35" spans="1:9" ht="78.75" customHeight="1">
      <c r="A35" s="65">
        <v>2</v>
      </c>
      <c r="B35" s="65">
        <v>45212224</v>
      </c>
      <c r="C35" s="65" t="s">
        <v>398</v>
      </c>
      <c r="D35" s="5" t="s">
        <v>388</v>
      </c>
      <c r="E35" s="13">
        <f>22000-87-373</f>
        <v>21540</v>
      </c>
      <c r="F35" s="1" t="s">
        <v>166</v>
      </c>
      <c r="G35" s="1" t="s">
        <v>187</v>
      </c>
      <c r="H35" s="1" t="s">
        <v>192</v>
      </c>
      <c r="I35" s="1" t="s">
        <v>387</v>
      </c>
    </row>
    <row r="36" spans="1:9" ht="78.75" customHeight="1">
      <c r="A36" s="65"/>
      <c r="B36" s="65"/>
      <c r="C36" s="65"/>
      <c r="D36" s="5" t="s">
        <v>389</v>
      </c>
      <c r="E36" s="13">
        <f>22302-87-378</f>
        <v>21837</v>
      </c>
      <c r="F36" s="1" t="s">
        <v>166</v>
      </c>
      <c r="G36" s="1" t="s">
        <v>187</v>
      </c>
      <c r="H36" s="1" t="s">
        <v>192</v>
      </c>
      <c r="I36" s="1" t="s">
        <v>387</v>
      </c>
    </row>
    <row r="37" spans="1:9" ht="78.75" customHeight="1">
      <c r="A37" s="65"/>
      <c r="B37" s="65"/>
      <c r="C37" s="65"/>
      <c r="D37" s="5" t="s">
        <v>390</v>
      </c>
      <c r="E37" s="13">
        <f>11150-46-189</f>
        <v>10915</v>
      </c>
      <c r="F37" s="1" t="s">
        <v>166</v>
      </c>
      <c r="G37" s="1" t="s">
        <v>187</v>
      </c>
      <c r="H37" s="1" t="s">
        <v>192</v>
      </c>
      <c r="I37" s="1" t="s">
        <v>387</v>
      </c>
    </row>
    <row r="38" spans="1:9" ht="78.75" customHeight="1">
      <c r="A38" s="65"/>
      <c r="B38" s="65"/>
      <c r="C38" s="65"/>
      <c r="D38" s="5" t="s">
        <v>391</v>
      </c>
      <c r="E38" s="13">
        <f>19000-1700-361-237-85</f>
        <v>16617</v>
      </c>
      <c r="F38" s="1" t="s">
        <v>166</v>
      </c>
      <c r="G38" s="1" t="s">
        <v>187</v>
      </c>
      <c r="H38" s="1" t="s">
        <v>192</v>
      </c>
      <c r="I38" s="1" t="s">
        <v>387</v>
      </c>
    </row>
    <row r="39" spans="1:9" ht="78.75" customHeight="1">
      <c r="A39" s="65"/>
      <c r="B39" s="65"/>
      <c r="C39" s="65"/>
      <c r="D39" s="5" t="s">
        <v>392</v>
      </c>
      <c r="E39" s="13">
        <f>11321</f>
        <v>11321</v>
      </c>
      <c r="F39" s="1" t="s">
        <v>166</v>
      </c>
      <c r="G39" s="1" t="s">
        <v>187</v>
      </c>
      <c r="H39" s="1" t="s">
        <v>192</v>
      </c>
      <c r="I39" s="1" t="s">
        <v>387</v>
      </c>
    </row>
    <row r="40" spans="1:9" ht="78.75" customHeight="1">
      <c r="A40" s="65">
        <v>2</v>
      </c>
      <c r="B40" s="65">
        <v>45212224</v>
      </c>
      <c r="C40" s="65" t="s">
        <v>398</v>
      </c>
      <c r="D40" s="5" t="s">
        <v>393</v>
      </c>
      <c r="E40" s="13">
        <f>24309-3708-412</f>
        <v>20189</v>
      </c>
      <c r="F40" s="1" t="s">
        <v>166</v>
      </c>
      <c r="G40" s="1" t="s">
        <v>187</v>
      </c>
      <c r="H40" s="1" t="s">
        <v>192</v>
      </c>
      <c r="I40" s="1" t="s">
        <v>387</v>
      </c>
    </row>
    <row r="41" spans="1:9" ht="78.75" customHeight="1">
      <c r="A41" s="65"/>
      <c r="B41" s="65"/>
      <c r="C41" s="65"/>
      <c r="D41" s="5" t="s">
        <v>394</v>
      </c>
      <c r="E41" s="13">
        <f>23800-91-403</f>
        <v>23306</v>
      </c>
      <c r="F41" s="1" t="s">
        <v>166</v>
      </c>
      <c r="G41" s="1" t="s">
        <v>187</v>
      </c>
      <c r="H41" s="1" t="s">
        <v>192</v>
      </c>
      <c r="I41" s="1" t="s">
        <v>387</v>
      </c>
    </row>
    <row r="42" spans="1:9" ht="78.75" customHeight="1">
      <c r="A42" s="65"/>
      <c r="B42" s="65"/>
      <c r="C42" s="65"/>
      <c r="D42" s="5" t="s">
        <v>395</v>
      </c>
      <c r="E42" s="13">
        <f>2392-9-41</f>
        <v>2342</v>
      </c>
      <c r="F42" s="1" t="s">
        <v>166</v>
      </c>
      <c r="G42" s="1" t="s">
        <v>187</v>
      </c>
      <c r="H42" s="1" t="s">
        <v>192</v>
      </c>
      <c r="I42" s="1" t="s">
        <v>387</v>
      </c>
    </row>
    <row r="43" spans="1:9" ht="78.75" customHeight="1">
      <c r="A43" s="65"/>
      <c r="B43" s="65"/>
      <c r="C43" s="65"/>
      <c r="D43" s="5" t="s">
        <v>396</v>
      </c>
      <c r="E43" s="13">
        <f>2048-8-35</f>
        <v>2005</v>
      </c>
      <c r="F43" s="1" t="s">
        <v>166</v>
      </c>
      <c r="G43" s="1" t="s">
        <v>187</v>
      </c>
      <c r="H43" s="1" t="s">
        <v>192</v>
      </c>
      <c r="I43" s="1" t="s">
        <v>387</v>
      </c>
    </row>
    <row r="44" spans="1:9" ht="78.75" customHeight="1">
      <c r="A44" s="65"/>
      <c r="B44" s="65"/>
      <c r="C44" s="65"/>
      <c r="D44" s="5" t="s">
        <v>397</v>
      </c>
      <c r="E44" s="13">
        <f>21222-79-360</f>
        <v>20783</v>
      </c>
      <c r="F44" s="1" t="s">
        <v>166</v>
      </c>
      <c r="G44" s="1" t="s">
        <v>187</v>
      </c>
      <c r="H44" s="1" t="s">
        <v>192</v>
      </c>
      <c r="I44" s="1" t="s">
        <v>387</v>
      </c>
    </row>
    <row r="45" spans="1:9" ht="95.25" customHeight="1">
      <c r="A45" s="65">
        <v>3</v>
      </c>
      <c r="B45" s="65">
        <v>45215500</v>
      </c>
      <c r="C45" s="65" t="s">
        <v>399</v>
      </c>
      <c r="D45" s="5" t="s">
        <v>400</v>
      </c>
      <c r="E45" s="13">
        <f>4500-19-76</f>
        <v>4405</v>
      </c>
      <c r="F45" s="1" t="s">
        <v>166</v>
      </c>
      <c r="G45" s="1" t="s">
        <v>187</v>
      </c>
      <c r="H45" s="1" t="s">
        <v>192</v>
      </c>
      <c r="I45" s="1" t="s">
        <v>387</v>
      </c>
    </row>
    <row r="46" spans="1:9" ht="95.25" customHeight="1">
      <c r="A46" s="65"/>
      <c r="B46" s="65"/>
      <c r="C46" s="65"/>
      <c r="D46" s="5" t="s">
        <v>401</v>
      </c>
      <c r="E46" s="13">
        <f>4500-18-76</f>
        <v>4406</v>
      </c>
      <c r="F46" s="1" t="s">
        <v>166</v>
      </c>
      <c r="G46" s="1" t="s">
        <v>187</v>
      </c>
      <c r="H46" s="1" t="s">
        <v>192</v>
      </c>
      <c r="I46" s="1" t="s">
        <v>387</v>
      </c>
    </row>
    <row r="47" spans="1:9" ht="95.25" customHeight="1">
      <c r="A47" s="65"/>
      <c r="B47" s="65"/>
      <c r="C47" s="65"/>
      <c r="D47" s="5" t="s">
        <v>402</v>
      </c>
      <c r="E47" s="13">
        <f>8000-30-135</f>
        <v>7835</v>
      </c>
      <c r="F47" s="1" t="s">
        <v>166</v>
      </c>
      <c r="G47" s="1" t="s">
        <v>187</v>
      </c>
      <c r="H47" s="1" t="s">
        <v>192</v>
      </c>
      <c r="I47" s="1" t="s">
        <v>387</v>
      </c>
    </row>
    <row r="48" spans="1:9" ht="95.25" customHeight="1">
      <c r="A48" s="65"/>
      <c r="B48" s="65"/>
      <c r="C48" s="65"/>
      <c r="D48" s="5" t="s">
        <v>403</v>
      </c>
      <c r="E48" s="13">
        <f>4446-32-76</f>
        <v>4338</v>
      </c>
      <c r="F48" s="1" t="s">
        <v>166</v>
      </c>
      <c r="G48" s="1" t="s">
        <v>187</v>
      </c>
      <c r="H48" s="1" t="s">
        <v>192</v>
      </c>
      <c r="I48" s="1" t="s">
        <v>387</v>
      </c>
    </row>
    <row r="49" spans="1:9" ht="60.75" customHeight="1">
      <c r="A49" s="65">
        <v>4</v>
      </c>
      <c r="B49" s="65">
        <v>45316100</v>
      </c>
      <c r="C49" s="65" t="s">
        <v>404</v>
      </c>
      <c r="D49" s="5" t="s">
        <v>405</v>
      </c>
      <c r="E49" s="13">
        <f>'[4]forma 1'!$M$22-901-385</f>
        <v>21412</v>
      </c>
      <c r="F49" s="1" t="s">
        <v>166</v>
      </c>
      <c r="G49" s="1" t="s">
        <v>187</v>
      </c>
      <c r="H49" s="1" t="s">
        <v>192</v>
      </c>
      <c r="I49" s="1" t="s">
        <v>387</v>
      </c>
    </row>
    <row r="50" spans="1:9" ht="60.75" customHeight="1">
      <c r="A50" s="65"/>
      <c r="B50" s="65"/>
      <c r="C50" s="65"/>
      <c r="D50" s="5" t="s">
        <v>406</v>
      </c>
      <c r="E50" s="13">
        <f>'[4]forma 1'!$M$31-342-270</f>
        <v>15243</v>
      </c>
      <c r="F50" s="1" t="s">
        <v>166</v>
      </c>
      <c r="G50" s="1" t="s">
        <v>187</v>
      </c>
      <c r="H50" s="1" t="s">
        <v>192</v>
      </c>
      <c r="I50" s="1" t="s">
        <v>387</v>
      </c>
    </row>
    <row r="51" spans="1:9" ht="60.75" customHeight="1">
      <c r="A51" s="65">
        <v>4</v>
      </c>
      <c r="B51" s="65">
        <v>45316100</v>
      </c>
      <c r="C51" s="65" t="s">
        <v>404</v>
      </c>
      <c r="D51" s="5" t="s">
        <v>407</v>
      </c>
      <c r="E51" s="13">
        <f>'[4]forma 1'!$M$52-523-49</f>
        <v>2320</v>
      </c>
      <c r="F51" s="1" t="s">
        <v>166</v>
      </c>
      <c r="G51" s="1" t="s">
        <v>187</v>
      </c>
      <c r="H51" s="1" t="s">
        <v>192</v>
      </c>
      <c r="I51" s="1" t="s">
        <v>387</v>
      </c>
    </row>
    <row r="52" spans="1:9" ht="60.75" customHeight="1">
      <c r="A52" s="65"/>
      <c r="B52" s="65"/>
      <c r="C52" s="65"/>
      <c r="D52" s="5" t="s">
        <v>408</v>
      </c>
      <c r="E52" s="13">
        <f>'[4]forma 1'!$M$59-106</f>
        <v>1394</v>
      </c>
      <c r="F52" s="1" t="s">
        <v>166</v>
      </c>
      <c r="G52" s="1" t="s">
        <v>187</v>
      </c>
      <c r="H52" s="1" t="s">
        <v>192</v>
      </c>
      <c r="I52" s="1" t="s">
        <v>387</v>
      </c>
    </row>
    <row r="53" spans="1:9" ht="60.75" customHeight="1">
      <c r="A53" s="65"/>
      <c r="B53" s="65"/>
      <c r="C53" s="65"/>
      <c r="D53" s="5" t="s">
        <v>409</v>
      </c>
      <c r="E53" s="13">
        <f>'[4]forma 1'!$M$86-58-73</f>
        <v>4177</v>
      </c>
      <c r="F53" s="1" t="s">
        <v>166</v>
      </c>
      <c r="G53" s="1" t="s">
        <v>187</v>
      </c>
      <c r="H53" s="1" t="s">
        <v>192</v>
      </c>
      <c r="I53" s="1" t="s">
        <v>387</v>
      </c>
    </row>
    <row r="54" spans="1:9" ht="60.75" customHeight="1">
      <c r="A54" s="65"/>
      <c r="B54" s="65"/>
      <c r="C54" s="65"/>
      <c r="D54" s="5" t="s">
        <v>410</v>
      </c>
      <c r="E54" s="13">
        <f>'[4]forma 1'!$M$112-949-43</f>
        <v>1508</v>
      </c>
      <c r="F54" s="1" t="s">
        <v>166</v>
      </c>
      <c r="G54" s="1" t="s">
        <v>187</v>
      </c>
      <c r="H54" s="1" t="s">
        <v>192</v>
      </c>
      <c r="I54" s="1" t="s">
        <v>387</v>
      </c>
    </row>
    <row r="55" spans="1:9" ht="60.75" customHeight="1">
      <c r="A55" s="65"/>
      <c r="B55" s="65"/>
      <c r="C55" s="65"/>
      <c r="D55" s="5" t="s">
        <v>411</v>
      </c>
      <c r="E55" s="13">
        <f>'[4]forma 1'!$M$117-561-34</f>
        <v>1405</v>
      </c>
      <c r="F55" s="1" t="s">
        <v>166</v>
      </c>
      <c r="G55" s="1" t="s">
        <v>187</v>
      </c>
      <c r="H55" s="1" t="s">
        <v>192</v>
      </c>
      <c r="I55" s="1" t="s">
        <v>387</v>
      </c>
    </row>
    <row r="56" spans="1:9" ht="60.75" customHeight="1">
      <c r="A56" s="1">
        <v>5</v>
      </c>
      <c r="B56" s="1" t="s">
        <v>492</v>
      </c>
      <c r="C56" s="1" t="s">
        <v>491</v>
      </c>
      <c r="D56" s="5" t="s">
        <v>357</v>
      </c>
      <c r="E56" s="13">
        <f>293365-37365</f>
        <v>256000</v>
      </c>
      <c r="F56" s="1" t="s">
        <v>165</v>
      </c>
      <c r="G56" s="1" t="s">
        <v>187</v>
      </c>
      <c r="H56" s="1" t="s">
        <v>192</v>
      </c>
      <c r="I56" s="1" t="s">
        <v>387</v>
      </c>
    </row>
    <row r="57" spans="1:9" ht="60.75" customHeight="1">
      <c r="A57" s="65">
        <v>5</v>
      </c>
      <c r="B57" s="65">
        <v>44312300</v>
      </c>
      <c r="C57" s="65" t="s">
        <v>412</v>
      </c>
      <c r="D57" s="5" t="s">
        <v>413</v>
      </c>
      <c r="E57" s="13">
        <f>'[4]forma 1'!$M$35-1292</f>
        <v>3108</v>
      </c>
      <c r="F57" s="65" t="s">
        <v>164</v>
      </c>
      <c r="G57" s="65" t="s">
        <v>187</v>
      </c>
      <c r="H57" s="65" t="s">
        <v>192</v>
      </c>
      <c r="I57" s="65" t="s">
        <v>387</v>
      </c>
    </row>
    <row r="58" spans="1:9" ht="60.75" customHeight="1">
      <c r="A58" s="65"/>
      <c r="B58" s="65"/>
      <c r="C58" s="65"/>
      <c r="D58" s="5" t="s">
        <v>414</v>
      </c>
      <c r="E58" s="13">
        <f>'[4]forma 1'!$M$42-887</f>
        <v>2113</v>
      </c>
      <c r="F58" s="65"/>
      <c r="G58" s="65"/>
      <c r="H58" s="65"/>
      <c r="I58" s="65"/>
    </row>
    <row r="59" spans="1:9" ht="60.75" customHeight="1">
      <c r="A59" s="65"/>
      <c r="B59" s="65"/>
      <c r="C59" s="65"/>
      <c r="D59" s="5" t="s">
        <v>415</v>
      </c>
      <c r="E59" s="13">
        <f>'[4]forma 1'!$M$85-555</f>
        <v>1323</v>
      </c>
      <c r="F59" s="65"/>
      <c r="G59" s="65"/>
      <c r="H59" s="65"/>
      <c r="I59" s="65"/>
    </row>
    <row r="60" spans="1:9" ht="60.75" customHeight="1">
      <c r="A60" s="65"/>
      <c r="B60" s="65"/>
      <c r="C60" s="65"/>
      <c r="D60" s="5" t="s">
        <v>416</v>
      </c>
      <c r="E60" s="13">
        <f>'[4]forma 1'!$M$111-444</f>
        <v>1056</v>
      </c>
      <c r="F60" s="65"/>
      <c r="G60" s="65"/>
      <c r="H60" s="65"/>
      <c r="I60" s="65"/>
    </row>
    <row r="61" spans="1:9" ht="60.75" customHeight="1">
      <c r="A61" s="63">
        <v>6</v>
      </c>
      <c r="B61" s="65">
        <v>45340000</v>
      </c>
      <c r="C61" s="65" t="s">
        <v>480</v>
      </c>
      <c r="D61" s="37" t="s">
        <v>417</v>
      </c>
      <c r="E61" s="13">
        <f>4000-41-68</f>
        <v>3891</v>
      </c>
      <c r="F61" s="1" t="s">
        <v>166</v>
      </c>
      <c r="G61" s="1" t="s">
        <v>187</v>
      </c>
      <c r="H61" s="1" t="s">
        <v>192</v>
      </c>
      <c r="I61" s="1" t="s">
        <v>387</v>
      </c>
    </row>
    <row r="62" spans="1:9" ht="60.75" customHeight="1">
      <c r="A62" s="64"/>
      <c r="B62" s="65"/>
      <c r="C62" s="65"/>
      <c r="D62" s="5" t="s">
        <v>418</v>
      </c>
      <c r="E62" s="13">
        <f>'[4]forma 1'!$M$147-19-34</f>
        <v>1947</v>
      </c>
      <c r="F62" s="1" t="s">
        <v>166</v>
      </c>
      <c r="G62" s="1" t="s">
        <v>187</v>
      </c>
      <c r="H62" s="1" t="s">
        <v>192</v>
      </c>
      <c r="I62" s="1" t="s">
        <v>387</v>
      </c>
    </row>
    <row r="63" spans="1:9" ht="67.5" customHeight="1">
      <c r="A63" s="1">
        <v>7</v>
      </c>
      <c r="B63" s="1">
        <v>45212314</v>
      </c>
      <c r="C63" s="1" t="s">
        <v>477</v>
      </c>
      <c r="D63" s="5" t="s">
        <v>419</v>
      </c>
      <c r="E63" s="13">
        <f>2012-7-34</f>
        <v>1971</v>
      </c>
      <c r="F63" s="1" t="s">
        <v>166</v>
      </c>
      <c r="G63" s="1" t="s">
        <v>187</v>
      </c>
      <c r="H63" s="1" t="s">
        <v>192</v>
      </c>
      <c r="I63" s="1" t="s">
        <v>387</v>
      </c>
    </row>
    <row r="64" spans="1:9" ht="67.5" customHeight="1">
      <c r="A64" s="1">
        <v>8</v>
      </c>
      <c r="B64" s="1">
        <v>45213316</v>
      </c>
      <c r="C64" s="1" t="s">
        <v>478</v>
      </c>
      <c r="D64" s="7" t="s">
        <v>420</v>
      </c>
      <c r="E64" s="13">
        <f>'[4]forma 1'!$M$23-194-508</f>
        <v>29298</v>
      </c>
      <c r="F64" s="1" t="s">
        <v>166</v>
      </c>
      <c r="G64" s="1" t="s">
        <v>187</v>
      </c>
      <c r="H64" s="1" t="s">
        <v>192</v>
      </c>
      <c r="I64" s="1" t="s">
        <v>387</v>
      </c>
    </row>
    <row r="65" spans="1:9" ht="67.5" customHeight="1">
      <c r="A65" s="1">
        <v>9</v>
      </c>
      <c r="B65" s="1">
        <v>45400000</v>
      </c>
      <c r="C65" s="1" t="s">
        <v>501</v>
      </c>
      <c r="D65" s="7" t="s">
        <v>505</v>
      </c>
      <c r="E65" s="13">
        <f>'[4]forma 1'!$M$36-63-271</f>
        <v>15672</v>
      </c>
      <c r="F65" s="1" t="s">
        <v>166</v>
      </c>
      <c r="G65" s="1" t="s">
        <v>187</v>
      </c>
      <c r="H65" s="1" t="s">
        <v>192</v>
      </c>
      <c r="I65" s="1" t="s">
        <v>387</v>
      </c>
    </row>
    <row r="66" spans="1:9" ht="67.5" customHeight="1">
      <c r="A66" s="1">
        <v>10</v>
      </c>
      <c r="B66" s="1">
        <v>45442110</v>
      </c>
      <c r="C66" s="1" t="s">
        <v>479</v>
      </c>
      <c r="D66" s="7" t="s">
        <v>493</v>
      </c>
      <c r="E66" s="13">
        <f>9015-53-153</f>
        <v>8809</v>
      </c>
      <c r="F66" s="1" t="s">
        <v>166</v>
      </c>
      <c r="G66" s="1" t="s">
        <v>187</v>
      </c>
      <c r="H66" s="1" t="s">
        <v>192</v>
      </c>
      <c r="I66" s="1" t="s">
        <v>387</v>
      </c>
    </row>
    <row r="67" spans="1:9" ht="67.5" customHeight="1">
      <c r="A67" s="1">
        <v>11</v>
      </c>
      <c r="B67" s="1">
        <v>45233253</v>
      </c>
      <c r="C67" s="1" t="s">
        <v>499</v>
      </c>
      <c r="D67" s="7" t="s">
        <v>421</v>
      </c>
      <c r="E67" s="13">
        <f>6000-23-102</f>
        <v>5875</v>
      </c>
      <c r="F67" s="1" t="s">
        <v>166</v>
      </c>
      <c r="G67" s="1" t="s">
        <v>187</v>
      </c>
      <c r="H67" s="1" t="s">
        <v>192</v>
      </c>
      <c r="I67" s="1" t="s">
        <v>387</v>
      </c>
    </row>
    <row r="68" spans="1:9" ht="67.5" customHeight="1">
      <c r="A68" s="1">
        <v>12</v>
      </c>
      <c r="B68" s="1">
        <v>45233253</v>
      </c>
      <c r="C68" s="1" t="s">
        <v>499</v>
      </c>
      <c r="D68" s="7" t="s">
        <v>422</v>
      </c>
      <c r="E68" s="13">
        <f>'[4]forma 1'!$M$29-15-51</f>
        <v>2934</v>
      </c>
      <c r="F68" s="1" t="s">
        <v>166</v>
      </c>
      <c r="G68" s="1" t="s">
        <v>187</v>
      </c>
      <c r="H68" s="1" t="s">
        <v>192</v>
      </c>
      <c r="I68" s="1" t="s">
        <v>387</v>
      </c>
    </row>
    <row r="69" spans="1:9" ht="67.5" customHeight="1">
      <c r="A69" s="1">
        <v>13</v>
      </c>
      <c r="B69" s="1">
        <v>45400000</v>
      </c>
      <c r="C69" s="1" t="s">
        <v>501</v>
      </c>
      <c r="D69" s="8" t="s">
        <v>117</v>
      </c>
      <c r="E69" s="13">
        <f>'[4]forma 1'!$M$41-50-186</f>
        <v>10781</v>
      </c>
      <c r="F69" s="1" t="s">
        <v>166</v>
      </c>
      <c r="G69" s="1" t="s">
        <v>187</v>
      </c>
      <c r="H69" s="1" t="s">
        <v>192</v>
      </c>
      <c r="I69" s="1" t="s">
        <v>387</v>
      </c>
    </row>
    <row r="70" spans="1:9" ht="67.5" customHeight="1">
      <c r="A70" s="1">
        <v>14</v>
      </c>
      <c r="B70" s="1">
        <v>45232150</v>
      </c>
      <c r="C70" s="1" t="s">
        <v>481</v>
      </c>
      <c r="D70" s="7" t="s">
        <v>431</v>
      </c>
      <c r="E70" s="13">
        <f>'[4]forma 1'!$M$43-32-102</f>
        <v>5866</v>
      </c>
      <c r="F70" s="1" t="s">
        <v>166</v>
      </c>
      <c r="G70" s="1" t="s">
        <v>187</v>
      </c>
      <c r="H70" s="1" t="s">
        <v>192</v>
      </c>
      <c r="I70" s="1" t="s">
        <v>387</v>
      </c>
    </row>
    <row r="71" spans="1:9" ht="67.5" customHeight="1">
      <c r="A71" s="1">
        <v>15</v>
      </c>
      <c r="B71" s="1">
        <v>45333000</v>
      </c>
      <c r="C71" s="1" t="s">
        <v>504</v>
      </c>
      <c r="D71" s="7" t="s">
        <v>423</v>
      </c>
      <c r="E71" s="13">
        <f>'[4]forma 1'!$M$45</f>
        <v>2000</v>
      </c>
      <c r="F71" s="1" t="s">
        <v>166</v>
      </c>
      <c r="G71" s="1" t="s">
        <v>187</v>
      </c>
      <c r="H71" s="1" t="s">
        <v>192</v>
      </c>
      <c r="I71" s="1" t="s">
        <v>387</v>
      </c>
    </row>
    <row r="72" spans="1:9" ht="67.5" customHeight="1">
      <c r="A72" s="1">
        <v>16</v>
      </c>
      <c r="B72" s="1">
        <v>45400000</v>
      </c>
      <c r="C72" s="1" t="s">
        <v>501</v>
      </c>
      <c r="D72" s="7" t="s">
        <v>432</v>
      </c>
      <c r="E72" s="13">
        <f>'[4]forma 1'!$M$46-25-76</f>
        <v>4399</v>
      </c>
      <c r="F72" s="1" t="s">
        <v>166</v>
      </c>
      <c r="G72" s="1" t="s">
        <v>187</v>
      </c>
      <c r="H72" s="1" t="s">
        <v>192</v>
      </c>
      <c r="I72" s="1" t="s">
        <v>387</v>
      </c>
    </row>
    <row r="73" spans="1:9" ht="67.5" customHeight="1">
      <c r="A73" s="1">
        <v>17</v>
      </c>
      <c r="B73" s="1">
        <v>45400000</v>
      </c>
      <c r="C73" s="1" t="s">
        <v>501</v>
      </c>
      <c r="D73" s="7" t="s">
        <v>118</v>
      </c>
      <c r="E73" s="13">
        <f>'[4]forma 1'!$M$50-80-361</f>
        <v>20859</v>
      </c>
      <c r="F73" s="1" t="s">
        <v>166</v>
      </c>
      <c r="G73" s="1" t="s">
        <v>187</v>
      </c>
      <c r="H73" s="1" t="s">
        <v>192</v>
      </c>
      <c r="I73" s="1" t="s">
        <v>387</v>
      </c>
    </row>
    <row r="74" spans="1:9" ht="67.5" customHeight="1">
      <c r="A74" s="1">
        <v>18</v>
      </c>
      <c r="B74" s="1">
        <v>45261210</v>
      </c>
      <c r="C74" s="1" t="s">
        <v>502</v>
      </c>
      <c r="D74" s="7" t="s">
        <v>456</v>
      </c>
      <c r="E74" s="13">
        <f>'[4]forma 1'!$M$55-81-310</f>
        <v>17896</v>
      </c>
      <c r="F74" s="1" t="s">
        <v>166</v>
      </c>
      <c r="G74" s="1" t="s">
        <v>187</v>
      </c>
      <c r="H74" s="1" t="s">
        <v>192</v>
      </c>
      <c r="I74" s="1" t="s">
        <v>387</v>
      </c>
    </row>
    <row r="75" spans="1:9" ht="67.5" customHeight="1">
      <c r="A75" s="1">
        <v>19</v>
      </c>
      <c r="B75" s="1">
        <v>45232150</v>
      </c>
      <c r="C75" s="1" t="s">
        <v>481</v>
      </c>
      <c r="D75" s="9" t="s">
        <v>457</v>
      </c>
      <c r="E75" s="13">
        <f>'[4]forma 1'!$M$56-12-25</f>
        <v>1463</v>
      </c>
      <c r="F75" s="1" t="s">
        <v>166</v>
      </c>
      <c r="G75" s="1" t="s">
        <v>187</v>
      </c>
      <c r="H75" s="1" t="s">
        <v>192</v>
      </c>
      <c r="I75" s="1" t="s">
        <v>387</v>
      </c>
    </row>
    <row r="76" spans="1:9" ht="67.5" customHeight="1">
      <c r="A76" s="1">
        <v>20</v>
      </c>
      <c r="B76" s="1">
        <v>45432110</v>
      </c>
      <c r="C76" s="1" t="s">
        <v>503</v>
      </c>
      <c r="D76" s="9" t="s">
        <v>458</v>
      </c>
      <c r="E76" s="13">
        <f>'[4]forma 1'!$M$58-25-25</f>
        <v>1450</v>
      </c>
      <c r="F76" s="1" t="s">
        <v>166</v>
      </c>
      <c r="G76" s="1" t="s">
        <v>187</v>
      </c>
      <c r="H76" s="1" t="s">
        <v>192</v>
      </c>
      <c r="I76" s="1" t="s">
        <v>387</v>
      </c>
    </row>
    <row r="77" spans="1:9" ht="67.5" customHeight="1">
      <c r="A77" s="1">
        <v>21</v>
      </c>
      <c r="B77" s="1">
        <v>45221119</v>
      </c>
      <c r="C77" s="5" t="s">
        <v>498</v>
      </c>
      <c r="D77" s="8" t="s">
        <v>459</v>
      </c>
      <c r="E77" s="13">
        <f>'[4]forma 1'!$M$61-13-20</f>
        <v>1167</v>
      </c>
      <c r="F77" s="1" t="s">
        <v>166</v>
      </c>
      <c r="G77" s="1" t="s">
        <v>187</v>
      </c>
      <c r="H77" s="1" t="s">
        <v>192</v>
      </c>
      <c r="I77" s="1" t="s">
        <v>387</v>
      </c>
    </row>
    <row r="78" spans="1:9" ht="67.5" customHeight="1">
      <c r="A78" s="1">
        <v>22</v>
      </c>
      <c r="B78" s="1">
        <v>45400000</v>
      </c>
      <c r="C78" s="1" t="s">
        <v>501</v>
      </c>
      <c r="D78" s="5" t="s">
        <v>494</v>
      </c>
      <c r="E78" s="13">
        <f>'[4]forma 1'!$M$67-43-192</f>
        <v>11187</v>
      </c>
      <c r="F78" s="1" t="s">
        <v>166</v>
      </c>
      <c r="G78" s="1" t="s">
        <v>187</v>
      </c>
      <c r="H78" s="1" t="s">
        <v>192</v>
      </c>
      <c r="I78" s="1" t="s">
        <v>387</v>
      </c>
    </row>
    <row r="79" spans="1:9" ht="67.5" customHeight="1">
      <c r="A79" s="1">
        <v>23</v>
      </c>
      <c r="B79" s="1">
        <v>45400000</v>
      </c>
      <c r="C79" s="1" t="s">
        <v>501</v>
      </c>
      <c r="D79" s="5" t="s">
        <v>495</v>
      </c>
      <c r="E79" s="13">
        <f>'[4]forma 1'!$M$72-19-85</f>
        <v>4896</v>
      </c>
      <c r="F79" s="1" t="s">
        <v>166</v>
      </c>
      <c r="G79" s="1" t="s">
        <v>187</v>
      </c>
      <c r="H79" s="1" t="s">
        <v>192</v>
      </c>
      <c r="I79" s="1" t="s">
        <v>387</v>
      </c>
    </row>
    <row r="80" spans="1:9" ht="67.5" customHeight="1">
      <c r="A80" s="1">
        <v>24</v>
      </c>
      <c r="B80" s="1">
        <v>45232150</v>
      </c>
      <c r="C80" s="1" t="s">
        <v>481</v>
      </c>
      <c r="D80" s="5" t="s">
        <v>460</v>
      </c>
      <c r="E80" s="13">
        <f>'[4]forma 1'!$M$87-22-94</f>
        <v>5429</v>
      </c>
      <c r="F80" s="1" t="s">
        <v>166</v>
      </c>
      <c r="G80" s="1" t="s">
        <v>187</v>
      </c>
      <c r="H80" s="1" t="s">
        <v>192</v>
      </c>
      <c r="I80" s="1" t="s">
        <v>387</v>
      </c>
    </row>
    <row r="81" spans="1:9" ht="67.5" customHeight="1">
      <c r="A81" s="1">
        <v>25</v>
      </c>
      <c r="B81" s="1">
        <v>45232150</v>
      </c>
      <c r="C81" s="1" t="s">
        <v>481</v>
      </c>
      <c r="D81" s="8" t="s">
        <v>461</v>
      </c>
      <c r="E81" s="13">
        <f>'[4]forma 1'!$M$93-34-93</f>
        <v>5386</v>
      </c>
      <c r="F81" s="1" t="s">
        <v>166</v>
      </c>
      <c r="G81" s="1" t="s">
        <v>187</v>
      </c>
      <c r="H81" s="1" t="s">
        <v>192</v>
      </c>
      <c r="I81" s="1" t="s">
        <v>387</v>
      </c>
    </row>
    <row r="82" spans="1:9" ht="67.5" customHeight="1">
      <c r="A82" s="1">
        <v>26</v>
      </c>
      <c r="B82" s="1">
        <v>45442000</v>
      </c>
      <c r="C82" s="1" t="s">
        <v>483</v>
      </c>
      <c r="D82" s="8" t="s">
        <v>462</v>
      </c>
      <c r="E82" s="13">
        <f>'[4]forma 1'!$M$106-21-85</f>
        <v>4889</v>
      </c>
      <c r="F82" s="1" t="s">
        <v>166</v>
      </c>
      <c r="G82" s="1" t="s">
        <v>187</v>
      </c>
      <c r="H82" s="1" t="s">
        <v>192</v>
      </c>
      <c r="I82" s="1" t="s">
        <v>387</v>
      </c>
    </row>
    <row r="83" spans="1:9" ht="67.5" customHeight="1">
      <c r="A83" s="1">
        <v>27</v>
      </c>
      <c r="B83" s="1">
        <v>45400000</v>
      </c>
      <c r="C83" s="1" t="s">
        <v>501</v>
      </c>
      <c r="D83" s="5" t="s">
        <v>463</v>
      </c>
      <c r="E83" s="13">
        <f>'[4]forma 1'!$M$109-130-583</f>
        <v>33647</v>
      </c>
      <c r="F83" s="1" t="s">
        <v>166</v>
      </c>
      <c r="G83" s="1" t="s">
        <v>187</v>
      </c>
      <c r="H83" s="1" t="s">
        <v>192</v>
      </c>
      <c r="I83" s="1" t="s">
        <v>387</v>
      </c>
    </row>
    <row r="84" spans="1:9" ht="67.5" customHeight="1">
      <c r="A84" s="1">
        <v>28</v>
      </c>
      <c r="B84" s="1">
        <v>45400000</v>
      </c>
      <c r="C84" s="1" t="s">
        <v>501</v>
      </c>
      <c r="D84" s="8" t="s">
        <v>464</v>
      </c>
      <c r="E84" s="13">
        <f>'[4]forma 1'!$M$121-57-255</f>
        <v>14806</v>
      </c>
      <c r="F84" s="1" t="s">
        <v>166</v>
      </c>
      <c r="G84" s="1" t="s">
        <v>187</v>
      </c>
      <c r="H84" s="1" t="s">
        <v>192</v>
      </c>
      <c r="I84" s="1" t="s">
        <v>387</v>
      </c>
    </row>
    <row r="85" spans="1:9" ht="67.5" customHeight="1">
      <c r="A85" s="1">
        <v>29</v>
      </c>
      <c r="B85" s="1">
        <v>45400000</v>
      </c>
      <c r="C85" s="1" t="s">
        <v>501</v>
      </c>
      <c r="D85" s="5" t="s">
        <v>482</v>
      </c>
      <c r="E85" s="13">
        <f>'[4]forma 1'!$M$125-44-170</f>
        <v>9786</v>
      </c>
      <c r="F85" s="1" t="s">
        <v>166</v>
      </c>
      <c r="G85" s="1" t="s">
        <v>187</v>
      </c>
      <c r="H85" s="1" t="s">
        <v>192</v>
      </c>
      <c r="I85" s="1" t="s">
        <v>387</v>
      </c>
    </row>
    <row r="86" spans="1:9" ht="67.5" customHeight="1">
      <c r="A86" s="1">
        <v>30</v>
      </c>
      <c r="B86" s="1">
        <v>45400000</v>
      </c>
      <c r="C86" s="1" t="s">
        <v>501</v>
      </c>
      <c r="D86" s="5" t="s">
        <v>465</v>
      </c>
      <c r="E86" s="13">
        <f>'[4]forma 1'!$M$126-88-372</f>
        <v>21504</v>
      </c>
      <c r="F86" s="1" t="s">
        <v>166</v>
      </c>
      <c r="G86" s="1" t="s">
        <v>187</v>
      </c>
      <c r="H86" s="1" t="s">
        <v>192</v>
      </c>
      <c r="I86" s="1" t="s">
        <v>387</v>
      </c>
    </row>
    <row r="87" spans="1:9" ht="67.5" customHeight="1">
      <c r="A87" s="1">
        <v>31</v>
      </c>
      <c r="B87" s="1">
        <v>45400000</v>
      </c>
      <c r="C87" s="1" t="s">
        <v>501</v>
      </c>
      <c r="D87" s="5" t="s">
        <v>466</v>
      </c>
      <c r="E87" s="13">
        <f>'[4]forma 1'!$M$130-49-218</f>
        <v>12573</v>
      </c>
      <c r="F87" s="1" t="s">
        <v>166</v>
      </c>
      <c r="G87" s="1" t="s">
        <v>187</v>
      </c>
      <c r="H87" s="1" t="s">
        <v>192</v>
      </c>
      <c r="I87" s="1" t="s">
        <v>387</v>
      </c>
    </row>
    <row r="88" spans="1:9" ht="67.5" customHeight="1">
      <c r="A88" s="1">
        <v>32</v>
      </c>
      <c r="B88" s="1">
        <v>45232150</v>
      </c>
      <c r="C88" s="1" t="s">
        <v>481</v>
      </c>
      <c r="D88" s="7" t="s">
        <v>467</v>
      </c>
      <c r="E88" s="13">
        <f>'[4]forma 1'!$M$135-14-64</f>
        <v>3722</v>
      </c>
      <c r="F88" s="1" t="s">
        <v>166</v>
      </c>
      <c r="G88" s="1" t="s">
        <v>187</v>
      </c>
      <c r="H88" s="1" t="s">
        <v>192</v>
      </c>
      <c r="I88" s="1" t="s">
        <v>387</v>
      </c>
    </row>
    <row r="89" spans="1:9" ht="66.75" customHeight="1">
      <c r="A89" s="1">
        <v>33</v>
      </c>
      <c r="B89" s="1">
        <v>45233142</v>
      </c>
      <c r="C89" s="1" t="s">
        <v>484</v>
      </c>
      <c r="D89" s="7" t="s">
        <v>468</v>
      </c>
      <c r="E89" s="13">
        <f>'[4]forma 1'!$M$137-15-68</f>
        <v>3917</v>
      </c>
      <c r="F89" s="1" t="s">
        <v>166</v>
      </c>
      <c r="G89" s="1" t="s">
        <v>187</v>
      </c>
      <c r="H89" s="1" t="s">
        <v>192</v>
      </c>
      <c r="I89" s="1" t="s">
        <v>387</v>
      </c>
    </row>
    <row r="90" spans="1:9" ht="67.5" customHeight="1">
      <c r="A90" s="1">
        <v>34</v>
      </c>
      <c r="B90" s="1">
        <v>37400000</v>
      </c>
      <c r="C90" s="1" t="s">
        <v>506</v>
      </c>
      <c r="D90" s="7" t="s">
        <v>507</v>
      </c>
      <c r="E90" s="13">
        <v>5117</v>
      </c>
      <c r="F90" s="1" t="s">
        <v>166</v>
      </c>
      <c r="G90" s="1" t="s">
        <v>187</v>
      </c>
      <c r="H90" s="1" t="s">
        <v>192</v>
      </c>
      <c r="I90" s="1" t="s">
        <v>387</v>
      </c>
    </row>
    <row r="91" spans="1:9" ht="67.5" customHeight="1">
      <c r="A91" s="1">
        <v>35</v>
      </c>
      <c r="B91" s="1">
        <v>45400000</v>
      </c>
      <c r="C91" s="1" t="s">
        <v>501</v>
      </c>
      <c r="D91" s="7" t="s">
        <v>469</v>
      </c>
      <c r="E91" s="13">
        <f>21172-E90-81-358</f>
        <v>15616</v>
      </c>
      <c r="F91" s="1" t="s">
        <v>166</v>
      </c>
      <c r="G91" s="1" t="s">
        <v>187</v>
      </c>
      <c r="H91" s="1" t="s">
        <v>192</v>
      </c>
      <c r="I91" s="1" t="s">
        <v>387</v>
      </c>
    </row>
    <row r="92" spans="1:9" ht="67.5" customHeight="1">
      <c r="A92" s="1">
        <v>36</v>
      </c>
      <c r="B92" s="1">
        <v>45233142</v>
      </c>
      <c r="C92" s="1" t="s">
        <v>484</v>
      </c>
      <c r="D92" s="7" t="s">
        <v>470</v>
      </c>
      <c r="E92" s="13">
        <f>'[4]forma 1'!$M$148-98-394</f>
        <v>22766</v>
      </c>
      <c r="F92" s="1" t="s">
        <v>166</v>
      </c>
      <c r="G92" s="1" t="s">
        <v>187</v>
      </c>
      <c r="H92" s="1" t="s">
        <v>192</v>
      </c>
      <c r="I92" s="1" t="s">
        <v>387</v>
      </c>
    </row>
    <row r="93" spans="1:9" ht="63" customHeight="1">
      <c r="A93" s="1">
        <v>37</v>
      </c>
      <c r="B93" s="1">
        <v>45400000</v>
      </c>
      <c r="C93" s="1" t="s">
        <v>501</v>
      </c>
      <c r="D93" s="7" t="s">
        <v>471</v>
      </c>
      <c r="E93" s="13">
        <f>'[4]forma 1'!$M$151-143-620</f>
        <v>38836</v>
      </c>
      <c r="F93" s="1" t="s">
        <v>166</v>
      </c>
      <c r="G93" s="1" t="s">
        <v>187</v>
      </c>
      <c r="H93" s="1" t="s">
        <v>192</v>
      </c>
      <c r="I93" s="1" t="s">
        <v>387</v>
      </c>
    </row>
    <row r="94" spans="1:9" ht="63" customHeight="1">
      <c r="A94" s="1">
        <v>38</v>
      </c>
      <c r="B94" s="1">
        <v>45400000</v>
      </c>
      <c r="C94" s="1" t="s">
        <v>501</v>
      </c>
      <c r="D94" s="10" t="s">
        <v>472</v>
      </c>
      <c r="E94" s="13">
        <f>'[4]forma 1'!$M$154-37-172</f>
        <v>9911</v>
      </c>
      <c r="F94" s="1" t="s">
        <v>166</v>
      </c>
      <c r="G94" s="1" t="s">
        <v>187</v>
      </c>
      <c r="H94" s="1" t="s">
        <v>192</v>
      </c>
      <c r="I94" s="1" t="s">
        <v>387</v>
      </c>
    </row>
    <row r="95" spans="1:9" ht="63" customHeight="1">
      <c r="A95" s="1">
        <v>39</v>
      </c>
      <c r="B95" s="1">
        <v>45233142</v>
      </c>
      <c r="C95" s="1" t="s">
        <v>484</v>
      </c>
      <c r="D95" s="5" t="s">
        <v>497</v>
      </c>
      <c r="E95" s="13">
        <f>'[4]forma 1'!$M$82-25-110</f>
        <v>6365</v>
      </c>
      <c r="F95" s="1" t="s">
        <v>356</v>
      </c>
      <c r="G95" s="1" t="s">
        <v>187</v>
      </c>
      <c r="H95" s="1" t="s">
        <v>192</v>
      </c>
      <c r="I95" s="1" t="s">
        <v>387</v>
      </c>
    </row>
    <row r="96" spans="1:9" ht="63" customHeight="1">
      <c r="A96" s="1">
        <v>40</v>
      </c>
      <c r="B96" s="1">
        <v>45221119</v>
      </c>
      <c r="C96" s="5" t="s">
        <v>498</v>
      </c>
      <c r="D96" s="10" t="s">
        <v>496</v>
      </c>
      <c r="E96" s="13">
        <f>'[4]forma 1'!$M$146-16-46</f>
        <v>2613</v>
      </c>
      <c r="F96" s="1" t="s">
        <v>356</v>
      </c>
      <c r="G96" s="1" t="s">
        <v>187</v>
      </c>
      <c r="H96" s="1" t="s">
        <v>192</v>
      </c>
      <c r="I96" s="1" t="s">
        <v>387</v>
      </c>
    </row>
    <row r="97" spans="1:9" ht="63" customHeight="1">
      <c r="A97" s="1">
        <v>41</v>
      </c>
      <c r="B97" s="1">
        <v>44611500</v>
      </c>
      <c r="C97" s="1" t="s">
        <v>434</v>
      </c>
      <c r="D97" s="5" t="s">
        <v>473</v>
      </c>
      <c r="E97" s="13">
        <f>'[4]forma 1'!$M$92-56</f>
        <v>1444</v>
      </c>
      <c r="F97" s="1" t="s">
        <v>166</v>
      </c>
      <c r="G97" s="1" t="s">
        <v>187</v>
      </c>
      <c r="H97" s="1" t="s">
        <v>192</v>
      </c>
      <c r="I97" s="1" t="s">
        <v>387</v>
      </c>
    </row>
    <row r="98" spans="1:9" ht="63" customHeight="1">
      <c r="A98" s="1">
        <v>42</v>
      </c>
      <c r="B98" s="6">
        <v>39110000</v>
      </c>
      <c r="C98" s="6" t="s">
        <v>489</v>
      </c>
      <c r="D98" s="1" t="s">
        <v>474</v>
      </c>
      <c r="E98" s="13">
        <v>3785</v>
      </c>
      <c r="F98" s="1" t="s">
        <v>166</v>
      </c>
      <c r="G98" s="1" t="s">
        <v>187</v>
      </c>
      <c r="H98" s="1" t="s">
        <v>192</v>
      </c>
      <c r="I98" s="1" t="s">
        <v>387</v>
      </c>
    </row>
    <row r="99" spans="1:9" ht="114.75" customHeight="1">
      <c r="A99" s="1">
        <v>43</v>
      </c>
      <c r="B99" s="1">
        <v>37000000</v>
      </c>
      <c r="C99" s="1" t="s">
        <v>433</v>
      </c>
      <c r="D99" s="1" t="s">
        <v>475</v>
      </c>
      <c r="E99" s="13">
        <f>'[4]forma 1'!$M$118</f>
        <v>8925</v>
      </c>
      <c r="F99" s="1" t="s">
        <v>166</v>
      </c>
      <c r="G99" s="1" t="s">
        <v>187</v>
      </c>
      <c r="H99" s="1" t="s">
        <v>192</v>
      </c>
      <c r="I99" s="1" t="s">
        <v>387</v>
      </c>
    </row>
    <row r="100" spans="1:9" ht="67.5" customHeight="1">
      <c r="A100" s="1">
        <v>44</v>
      </c>
      <c r="B100" s="1">
        <v>37535200</v>
      </c>
      <c r="C100" s="1" t="s">
        <v>500</v>
      </c>
      <c r="D100" s="1" t="s">
        <v>476</v>
      </c>
      <c r="E100" s="13">
        <f>'[4]forma 1'!$M$122-29-102</f>
        <v>5869</v>
      </c>
      <c r="F100" s="1" t="s">
        <v>166</v>
      </c>
      <c r="G100" s="1" t="s">
        <v>187</v>
      </c>
      <c r="H100" s="1" t="s">
        <v>192</v>
      </c>
      <c r="I100" s="1" t="s">
        <v>387</v>
      </c>
    </row>
    <row r="101" spans="1:9" ht="67.5" customHeight="1">
      <c r="A101" s="1">
        <v>45</v>
      </c>
      <c r="B101" s="1">
        <v>45340000</v>
      </c>
      <c r="C101" s="1" t="s">
        <v>480</v>
      </c>
      <c r="D101" s="1" t="s">
        <v>119</v>
      </c>
      <c r="E101" s="13">
        <f>3000-11-51</f>
        <v>2938</v>
      </c>
      <c r="F101" s="1" t="s">
        <v>166</v>
      </c>
      <c r="G101" s="1" t="s">
        <v>187</v>
      </c>
      <c r="H101" s="1" t="s">
        <v>192</v>
      </c>
      <c r="I101" s="1" t="s">
        <v>387</v>
      </c>
    </row>
    <row r="102" spans="1:9" s="23" customFormat="1" ht="67.5" customHeight="1">
      <c r="A102" s="1">
        <v>46</v>
      </c>
      <c r="B102" s="1">
        <v>71300000</v>
      </c>
      <c r="C102" s="1" t="s">
        <v>556</v>
      </c>
      <c r="D102" s="1" t="s">
        <v>435</v>
      </c>
      <c r="E102" s="13">
        <f>15212-2164</f>
        <v>13048</v>
      </c>
      <c r="F102" s="1" t="s">
        <v>166</v>
      </c>
      <c r="G102" s="1" t="s">
        <v>187</v>
      </c>
      <c r="H102" s="1" t="s">
        <v>192</v>
      </c>
      <c r="I102" s="1" t="s">
        <v>387</v>
      </c>
    </row>
    <row r="103" spans="1:9" s="41" customFormat="1" ht="72.75" customHeight="1">
      <c r="A103" s="38">
        <v>47</v>
      </c>
      <c r="B103" s="38">
        <v>31500000</v>
      </c>
      <c r="C103" s="39" t="s">
        <v>110</v>
      </c>
      <c r="D103" s="39" t="s">
        <v>71</v>
      </c>
      <c r="E103" s="40">
        <v>306</v>
      </c>
      <c r="F103" s="38" t="s">
        <v>166</v>
      </c>
      <c r="G103" s="38" t="s">
        <v>33</v>
      </c>
      <c r="H103" s="38" t="s">
        <v>33</v>
      </c>
      <c r="I103" s="38" t="s">
        <v>130</v>
      </c>
    </row>
    <row r="104" spans="1:9" s="41" customFormat="1" ht="72.75" customHeight="1">
      <c r="A104" s="38">
        <v>48</v>
      </c>
      <c r="B104" s="38">
        <v>45112720</v>
      </c>
      <c r="C104" s="38" t="s">
        <v>54</v>
      </c>
      <c r="D104" s="38" t="s">
        <v>72</v>
      </c>
      <c r="E104" s="40">
        <f>'[5]forma 1'!$H$27</f>
        <v>1458</v>
      </c>
      <c r="F104" s="38" t="s">
        <v>166</v>
      </c>
      <c r="G104" s="38" t="s">
        <v>33</v>
      </c>
      <c r="H104" s="38" t="s">
        <v>33</v>
      </c>
      <c r="I104" s="38" t="s">
        <v>130</v>
      </c>
    </row>
    <row r="105" spans="1:9" s="41" customFormat="1" ht="72.75" customHeight="1">
      <c r="A105" s="38">
        <v>49</v>
      </c>
      <c r="B105" s="38">
        <v>45316100</v>
      </c>
      <c r="C105" s="38" t="s">
        <v>404</v>
      </c>
      <c r="D105" s="42" t="s">
        <v>74</v>
      </c>
      <c r="E105" s="38">
        <v>1655</v>
      </c>
      <c r="F105" s="38" t="s">
        <v>166</v>
      </c>
      <c r="G105" s="38" t="s">
        <v>33</v>
      </c>
      <c r="H105" s="38" t="s">
        <v>33</v>
      </c>
      <c r="I105" s="38" t="s">
        <v>130</v>
      </c>
    </row>
    <row r="106" spans="1:9" s="41" customFormat="1" ht="82.5" customHeight="1">
      <c r="A106" s="38">
        <v>50</v>
      </c>
      <c r="B106" s="38">
        <v>45400000</v>
      </c>
      <c r="C106" s="38" t="s">
        <v>501</v>
      </c>
      <c r="D106" s="42" t="s">
        <v>75</v>
      </c>
      <c r="E106" s="38">
        <v>2134</v>
      </c>
      <c r="F106" s="38" t="s">
        <v>166</v>
      </c>
      <c r="G106" s="38" t="s">
        <v>33</v>
      </c>
      <c r="H106" s="38" t="s">
        <v>33</v>
      </c>
      <c r="I106" s="38" t="s">
        <v>130</v>
      </c>
    </row>
    <row r="107" spans="1:9" s="41" customFormat="1" ht="72.75" customHeight="1">
      <c r="A107" s="38">
        <v>51</v>
      </c>
      <c r="B107" s="38">
        <v>45316100</v>
      </c>
      <c r="C107" s="38" t="s">
        <v>404</v>
      </c>
      <c r="D107" s="42" t="s">
        <v>76</v>
      </c>
      <c r="E107" s="38">
        <v>3256</v>
      </c>
      <c r="F107" s="38" t="s">
        <v>166</v>
      </c>
      <c r="G107" s="38" t="s">
        <v>33</v>
      </c>
      <c r="H107" s="38" t="s">
        <v>33</v>
      </c>
      <c r="I107" s="38" t="s">
        <v>130</v>
      </c>
    </row>
    <row r="108" spans="1:9" s="43" customFormat="1" ht="72.75" customHeight="1">
      <c r="A108" s="38">
        <v>52</v>
      </c>
      <c r="B108" s="38">
        <v>45300000</v>
      </c>
      <c r="C108" s="38" t="s">
        <v>113</v>
      </c>
      <c r="D108" s="42" t="s">
        <v>77</v>
      </c>
      <c r="E108" s="38">
        <v>1642</v>
      </c>
      <c r="F108" s="38" t="s">
        <v>166</v>
      </c>
      <c r="G108" s="38" t="s">
        <v>33</v>
      </c>
      <c r="H108" s="38" t="s">
        <v>33</v>
      </c>
      <c r="I108" s="38" t="s">
        <v>130</v>
      </c>
    </row>
    <row r="109" spans="1:9" s="43" customFormat="1" ht="72.75" customHeight="1">
      <c r="A109" s="38">
        <v>53</v>
      </c>
      <c r="B109" s="38">
        <v>45316100</v>
      </c>
      <c r="C109" s="38" t="s">
        <v>404</v>
      </c>
      <c r="D109" s="42" t="s">
        <v>78</v>
      </c>
      <c r="E109" s="38">
        <v>486</v>
      </c>
      <c r="F109" s="38" t="s">
        <v>166</v>
      </c>
      <c r="G109" s="38" t="s">
        <v>33</v>
      </c>
      <c r="H109" s="38" t="s">
        <v>33</v>
      </c>
      <c r="I109" s="38" t="s">
        <v>130</v>
      </c>
    </row>
    <row r="110" spans="1:9" s="43" customFormat="1" ht="72.75" customHeight="1">
      <c r="A110" s="38">
        <v>54</v>
      </c>
      <c r="B110" s="38">
        <v>45316100</v>
      </c>
      <c r="C110" s="38" t="s">
        <v>404</v>
      </c>
      <c r="D110" s="42" t="s">
        <v>81</v>
      </c>
      <c r="E110" s="38">
        <v>524</v>
      </c>
      <c r="F110" s="38" t="s">
        <v>166</v>
      </c>
      <c r="G110" s="38" t="s">
        <v>33</v>
      </c>
      <c r="H110" s="38" t="s">
        <v>33</v>
      </c>
      <c r="I110" s="38" t="s">
        <v>130</v>
      </c>
    </row>
    <row r="111" spans="1:9" s="44" customFormat="1" ht="126" customHeight="1">
      <c r="A111" s="28">
        <v>55</v>
      </c>
      <c r="B111" s="30">
        <v>44160000</v>
      </c>
      <c r="C111" s="30" t="s">
        <v>116</v>
      </c>
      <c r="D111" s="30" t="s">
        <v>82</v>
      </c>
      <c r="E111" s="28">
        <v>2990</v>
      </c>
      <c r="F111" s="28" t="s">
        <v>166</v>
      </c>
      <c r="G111" s="28" t="s">
        <v>33</v>
      </c>
      <c r="H111" s="28" t="s">
        <v>33</v>
      </c>
      <c r="I111" s="28" t="s">
        <v>130</v>
      </c>
    </row>
    <row r="112" spans="1:9" s="43" customFormat="1" ht="72.75" customHeight="1">
      <c r="A112" s="38">
        <v>56</v>
      </c>
      <c r="B112" s="38">
        <v>45316100</v>
      </c>
      <c r="C112" s="38" t="s">
        <v>404</v>
      </c>
      <c r="D112" s="42" t="s">
        <v>83</v>
      </c>
      <c r="E112" s="38">
        <v>2173</v>
      </c>
      <c r="F112" s="38" t="s">
        <v>166</v>
      </c>
      <c r="G112" s="38" t="s">
        <v>33</v>
      </c>
      <c r="H112" s="38" t="s">
        <v>33</v>
      </c>
      <c r="I112" s="38" t="s">
        <v>130</v>
      </c>
    </row>
    <row r="113" spans="1:9" s="43" customFormat="1" ht="72.75" customHeight="1">
      <c r="A113" s="38">
        <v>57</v>
      </c>
      <c r="B113" s="38">
        <v>45300000</v>
      </c>
      <c r="C113" s="38" t="s">
        <v>113</v>
      </c>
      <c r="D113" s="42" t="s">
        <v>84</v>
      </c>
      <c r="E113" s="38">
        <v>0</v>
      </c>
      <c r="F113" s="38" t="s">
        <v>166</v>
      </c>
      <c r="G113" s="38" t="s">
        <v>33</v>
      </c>
      <c r="H113" s="38" t="s">
        <v>33</v>
      </c>
      <c r="I113" s="38" t="s">
        <v>130</v>
      </c>
    </row>
    <row r="114" spans="1:9" s="43" customFormat="1" ht="72.75" customHeight="1">
      <c r="A114" s="38">
        <v>58</v>
      </c>
      <c r="B114" s="38">
        <v>45316100</v>
      </c>
      <c r="C114" s="38" t="s">
        <v>404</v>
      </c>
      <c r="D114" s="42" t="s">
        <v>85</v>
      </c>
      <c r="E114" s="38">
        <v>3483</v>
      </c>
      <c r="F114" s="38" t="s">
        <v>166</v>
      </c>
      <c r="G114" s="38" t="s">
        <v>33</v>
      </c>
      <c r="H114" s="38" t="s">
        <v>33</v>
      </c>
      <c r="I114" s="38" t="s">
        <v>130</v>
      </c>
    </row>
    <row r="115" spans="1:9" s="43" customFormat="1" ht="72.75" customHeight="1">
      <c r="A115" s="38">
        <v>59</v>
      </c>
      <c r="B115" s="38">
        <v>45316100</v>
      </c>
      <c r="C115" s="38" t="s">
        <v>404</v>
      </c>
      <c r="D115" s="42" t="s">
        <v>86</v>
      </c>
      <c r="E115" s="38">
        <v>968</v>
      </c>
      <c r="F115" s="38" t="s">
        <v>166</v>
      </c>
      <c r="G115" s="38" t="s">
        <v>33</v>
      </c>
      <c r="H115" s="38" t="s">
        <v>33</v>
      </c>
      <c r="I115" s="38" t="s">
        <v>130</v>
      </c>
    </row>
    <row r="116" spans="1:9" s="43" customFormat="1" ht="72.75" customHeight="1">
      <c r="A116" s="38">
        <v>60</v>
      </c>
      <c r="B116" s="38">
        <v>45221119</v>
      </c>
      <c r="C116" s="42" t="s">
        <v>498</v>
      </c>
      <c r="D116" s="42" t="s">
        <v>87</v>
      </c>
      <c r="E116" s="38">
        <v>1373</v>
      </c>
      <c r="F116" s="38" t="s">
        <v>166</v>
      </c>
      <c r="G116" s="38" t="s">
        <v>33</v>
      </c>
      <c r="H116" s="38" t="s">
        <v>33</v>
      </c>
      <c r="I116" s="38" t="s">
        <v>130</v>
      </c>
    </row>
    <row r="117" spans="1:9" s="43" customFormat="1" ht="72.75" customHeight="1">
      <c r="A117" s="38">
        <v>61</v>
      </c>
      <c r="B117" s="38">
        <v>45300000</v>
      </c>
      <c r="C117" s="38" t="s">
        <v>113</v>
      </c>
      <c r="D117" s="38" t="s">
        <v>88</v>
      </c>
      <c r="E117" s="38">
        <v>2836</v>
      </c>
      <c r="F117" s="38" t="s">
        <v>166</v>
      </c>
      <c r="G117" s="38" t="s">
        <v>33</v>
      </c>
      <c r="H117" s="38" t="s">
        <v>33</v>
      </c>
      <c r="I117" s="38" t="s">
        <v>130</v>
      </c>
    </row>
    <row r="118" spans="1:9" s="43" customFormat="1" ht="72.75" customHeight="1">
      <c r="A118" s="38">
        <v>62</v>
      </c>
      <c r="B118" s="38">
        <v>45400000</v>
      </c>
      <c r="C118" s="38" t="s">
        <v>501</v>
      </c>
      <c r="D118" s="42" t="s">
        <v>137</v>
      </c>
      <c r="E118" s="38">
        <v>1329</v>
      </c>
      <c r="F118" s="38" t="s">
        <v>166</v>
      </c>
      <c r="G118" s="38" t="s">
        <v>33</v>
      </c>
      <c r="H118" s="38" t="s">
        <v>33</v>
      </c>
      <c r="I118" s="38" t="s">
        <v>130</v>
      </c>
    </row>
    <row r="119" spans="1:9" s="43" customFormat="1" ht="72.75" customHeight="1">
      <c r="A119" s="38">
        <v>63</v>
      </c>
      <c r="B119" s="38">
        <v>45316100</v>
      </c>
      <c r="C119" s="38" t="s">
        <v>404</v>
      </c>
      <c r="D119" s="42" t="s">
        <v>89</v>
      </c>
      <c r="E119" s="38">
        <v>4346</v>
      </c>
      <c r="F119" s="38" t="s">
        <v>166</v>
      </c>
      <c r="G119" s="38" t="s">
        <v>33</v>
      </c>
      <c r="H119" s="38" t="s">
        <v>33</v>
      </c>
      <c r="I119" s="38" t="s">
        <v>130</v>
      </c>
    </row>
    <row r="120" spans="1:9" s="43" customFormat="1" ht="72.75" customHeight="1">
      <c r="A120" s="38">
        <v>64</v>
      </c>
      <c r="B120" s="38">
        <v>45316100</v>
      </c>
      <c r="C120" s="38" t="s">
        <v>404</v>
      </c>
      <c r="D120" s="42" t="s">
        <v>90</v>
      </c>
      <c r="E120" s="38">
        <v>481</v>
      </c>
      <c r="F120" s="38" t="s">
        <v>166</v>
      </c>
      <c r="G120" s="38" t="s">
        <v>33</v>
      </c>
      <c r="H120" s="38" t="s">
        <v>33</v>
      </c>
      <c r="I120" s="38" t="s">
        <v>130</v>
      </c>
    </row>
    <row r="121" spans="1:9" s="43" customFormat="1" ht="90" customHeight="1">
      <c r="A121" s="38">
        <v>65</v>
      </c>
      <c r="B121" s="38">
        <v>45300000</v>
      </c>
      <c r="C121" s="38" t="s">
        <v>113</v>
      </c>
      <c r="D121" s="42" t="s">
        <v>91</v>
      </c>
      <c r="E121" s="38">
        <v>1893</v>
      </c>
      <c r="F121" s="38" t="s">
        <v>166</v>
      </c>
      <c r="G121" s="38" t="s">
        <v>33</v>
      </c>
      <c r="H121" s="38" t="s">
        <v>33</v>
      </c>
      <c r="I121" s="38" t="s">
        <v>130</v>
      </c>
    </row>
    <row r="122" spans="1:9" s="43" customFormat="1" ht="72.75" customHeight="1">
      <c r="A122" s="38">
        <v>66</v>
      </c>
      <c r="B122" s="38">
        <v>45316100</v>
      </c>
      <c r="C122" s="38" t="s">
        <v>404</v>
      </c>
      <c r="D122" s="42" t="s">
        <v>94</v>
      </c>
      <c r="E122" s="38">
        <v>1677</v>
      </c>
      <c r="F122" s="38" t="s">
        <v>166</v>
      </c>
      <c r="G122" s="38" t="s">
        <v>33</v>
      </c>
      <c r="H122" s="38" t="s">
        <v>33</v>
      </c>
      <c r="I122" s="38" t="s">
        <v>130</v>
      </c>
    </row>
    <row r="123" spans="1:9" s="43" customFormat="1" ht="72.75" customHeight="1">
      <c r="A123" s="38">
        <v>67</v>
      </c>
      <c r="B123" s="38">
        <v>45400000</v>
      </c>
      <c r="C123" s="38" t="s">
        <v>501</v>
      </c>
      <c r="D123" s="42" t="s">
        <v>92</v>
      </c>
      <c r="E123" s="38">
        <v>244</v>
      </c>
      <c r="F123" s="38" t="s">
        <v>166</v>
      </c>
      <c r="G123" s="38" t="s">
        <v>33</v>
      </c>
      <c r="H123" s="38" t="s">
        <v>33</v>
      </c>
      <c r="I123" s="38" t="s">
        <v>130</v>
      </c>
    </row>
    <row r="124" spans="1:9" s="43" customFormat="1" ht="72.75" customHeight="1">
      <c r="A124" s="38">
        <v>68</v>
      </c>
      <c r="B124" s="38">
        <v>45300000</v>
      </c>
      <c r="C124" s="38" t="s">
        <v>113</v>
      </c>
      <c r="D124" s="42" t="s">
        <v>93</v>
      </c>
      <c r="E124" s="38">
        <v>1219</v>
      </c>
      <c r="F124" s="38" t="s">
        <v>166</v>
      </c>
      <c r="G124" s="38" t="s">
        <v>33</v>
      </c>
      <c r="H124" s="38" t="s">
        <v>33</v>
      </c>
      <c r="I124" s="38" t="s">
        <v>130</v>
      </c>
    </row>
    <row r="125" spans="1:9" s="43" customFormat="1" ht="72.75" customHeight="1">
      <c r="A125" s="38">
        <v>69</v>
      </c>
      <c r="B125" s="38">
        <v>45213310</v>
      </c>
      <c r="C125" s="38" t="s">
        <v>114</v>
      </c>
      <c r="D125" s="42" t="s">
        <v>95</v>
      </c>
      <c r="E125" s="38">
        <v>565</v>
      </c>
      <c r="F125" s="38" t="s">
        <v>166</v>
      </c>
      <c r="G125" s="38" t="s">
        <v>33</v>
      </c>
      <c r="H125" s="38" t="s">
        <v>33</v>
      </c>
      <c r="I125" s="38" t="s">
        <v>130</v>
      </c>
    </row>
    <row r="126" spans="1:9" s="43" customFormat="1" ht="72.75" customHeight="1">
      <c r="A126" s="38">
        <v>70</v>
      </c>
      <c r="B126" s="38">
        <v>45300000</v>
      </c>
      <c r="C126" s="38" t="s">
        <v>113</v>
      </c>
      <c r="D126" s="42" t="s">
        <v>96</v>
      </c>
      <c r="E126" s="38">
        <v>1600</v>
      </c>
      <c r="F126" s="38" t="s">
        <v>166</v>
      </c>
      <c r="G126" s="38" t="s">
        <v>33</v>
      </c>
      <c r="H126" s="38" t="s">
        <v>33</v>
      </c>
      <c r="I126" s="38" t="s">
        <v>130</v>
      </c>
    </row>
    <row r="127" spans="1:9" s="43" customFormat="1" ht="72.75" customHeight="1">
      <c r="A127" s="38">
        <v>71</v>
      </c>
      <c r="B127" s="38">
        <v>45400000</v>
      </c>
      <c r="C127" s="38" t="s">
        <v>501</v>
      </c>
      <c r="D127" s="42" t="s">
        <v>97</v>
      </c>
      <c r="E127" s="38">
        <v>2379</v>
      </c>
      <c r="F127" s="38" t="s">
        <v>166</v>
      </c>
      <c r="G127" s="38" t="s">
        <v>33</v>
      </c>
      <c r="H127" s="38" t="s">
        <v>33</v>
      </c>
      <c r="I127" s="38" t="s">
        <v>130</v>
      </c>
    </row>
    <row r="128" spans="1:9" s="43" customFormat="1" ht="72.75" customHeight="1">
      <c r="A128" s="38">
        <v>72</v>
      </c>
      <c r="B128" s="38">
        <v>45400000</v>
      </c>
      <c r="C128" s="38" t="s">
        <v>501</v>
      </c>
      <c r="D128" s="42" t="s">
        <v>98</v>
      </c>
      <c r="E128" s="38">
        <v>894</v>
      </c>
      <c r="F128" s="38" t="s">
        <v>166</v>
      </c>
      <c r="G128" s="38" t="s">
        <v>33</v>
      </c>
      <c r="H128" s="38" t="s">
        <v>33</v>
      </c>
      <c r="I128" s="38" t="s">
        <v>130</v>
      </c>
    </row>
    <row r="129" spans="1:9" s="43" customFormat="1" ht="72.75" customHeight="1">
      <c r="A129" s="38">
        <v>73</v>
      </c>
      <c r="B129" s="38">
        <v>45400000</v>
      </c>
      <c r="C129" s="38" t="s">
        <v>501</v>
      </c>
      <c r="D129" s="42" t="s">
        <v>111</v>
      </c>
      <c r="E129" s="38">
        <v>4092</v>
      </c>
      <c r="F129" s="38" t="s">
        <v>166</v>
      </c>
      <c r="G129" s="38" t="s">
        <v>33</v>
      </c>
      <c r="H129" s="38" t="s">
        <v>33</v>
      </c>
      <c r="I129" s="38" t="s">
        <v>130</v>
      </c>
    </row>
    <row r="130" spans="1:9" s="44" customFormat="1" ht="72.75" customHeight="1">
      <c r="A130" s="28">
        <v>74</v>
      </c>
      <c r="B130" s="28">
        <v>37400000</v>
      </c>
      <c r="C130" s="28" t="s">
        <v>112</v>
      </c>
      <c r="D130" s="29" t="s">
        <v>99</v>
      </c>
      <c r="E130" s="28">
        <v>1050</v>
      </c>
      <c r="F130" s="28" t="s">
        <v>166</v>
      </c>
      <c r="G130" s="28" t="s">
        <v>33</v>
      </c>
      <c r="H130" s="28" t="s">
        <v>33</v>
      </c>
      <c r="I130" s="28" t="s">
        <v>130</v>
      </c>
    </row>
    <row r="131" spans="1:9" s="44" customFormat="1" ht="67.5">
      <c r="A131" s="45">
        <v>75</v>
      </c>
      <c r="B131" s="30">
        <v>39110000</v>
      </c>
      <c r="C131" s="30" t="s">
        <v>489</v>
      </c>
      <c r="D131" s="45" t="s">
        <v>136</v>
      </c>
      <c r="E131" s="45">
        <v>2832</v>
      </c>
      <c r="F131" s="28" t="s">
        <v>166</v>
      </c>
      <c r="G131" s="28" t="s">
        <v>33</v>
      </c>
      <c r="H131" s="28" t="s">
        <v>33</v>
      </c>
      <c r="I131" s="28" t="s">
        <v>130</v>
      </c>
    </row>
    <row r="132" s="44" customFormat="1" ht="13.5"/>
    <row r="133" s="44" customFormat="1" ht="13.5"/>
    <row r="134" s="44" customFormat="1" ht="13.5"/>
    <row r="135" s="44" customFormat="1" ht="13.5"/>
    <row r="136" s="44" customFormat="1" ht="13.5"/>
    <row r="137" s="44" customFormat="1" ht="13.5"/>
    <row r="138" s="44" customFormat="1" ht="13.5"/>
    <row r="139" s="44" customFormat="1" ht="13.5"/>
    <row r="140" s="44" customFormat="1" ht="13.5"/>
    <row r="141" s="44" customFormat="1" ht="13.5"/>
    <row r="142" s="44" customFormat="1" ht="13.5"/>
    <row r="143" s="44" customFormat="1" ht="13.5"/>
    <row r="144" s="44" customFormat="1" ht="13.5"/>
    <row r="145" s="44" customFormat="1" ht="13.5"/>
    <row r="146" s="44" customFormat="1" ht="13.5"/>
    <row r="147" s="44" customFormat="1" ht="13.5"/>
    <row r="148" s="44" customFormat="1" ht="13.5"/>
    <row r="149" s="44" customFormat="1" ht="13.5"/>
    <row r="150" s="44" customFormat="1" ht="13.5"/>
    <row r="151" s="44" customFormat="1" ht="13.5"/>
    <row r="152" s="44" customFormat="1" ht="13.5"/>
    <row r="153" s="44" customFormat="1" ht="13.5"/>
    <row r="154" s="44" customFormat="1" ht="13.5"/>
    <row r="155" s="44" customFormat="1" ht="13.5"/>
    <row r="156" s="44" customFormat="1" ht="13.5"/>
    <row r="157" s="44" customFormat="1" ht="13.5"/>
    <row r="158" s="44" customFormat="1" ht="13.5"/>
    <row r="159" s="44" customFormat="1" ht="13.5"/>
    <row r="160" s="44" customFormat="1" ht="13.5"/>
    <row r="161" s="44" customFormat="1" ht="13.5"/>
    <row r="162" s="44" customFormat="1" ht="13.5"/>
    <row r="163" s="44" customFormat="1" ht="13.5"/>
    <row r="164" s="44" customFormat="1" ht="13.5"/>
    <row r="165" s="44" customFormat="1" ht="13.5"/>
    <row r="166" s="44" customFormat="1" ht="13.5"/>
    <row r="167" s="44" customFormat="1" ht="13.5"/>
    <row r="168" s="44" customFormat="1" ht="13.5"/>
    <row r="169" s="44" customFormat="1" ht="13.5"/>
    <row r="170" s="44" customFormat="1" ht="13.5"/>
    <row r="171" s="44" customFormat="1" ht="13.5"/>
    <row r="172" s="44" customFormat="1" ht="13.5"/>
    <row r="173" s="44" customFormat="1" ht="13.5"/>
    <row r="174" s="44" customFormat="1" ht="13.5"/>
  </sheetData>
  <sheetProtection/>
  <mergeCells count="49">
    <mergeCell ref="B17:B22"/>
    <mergeCell ref="I57:I60"/>
    <mergeCell ref="C49:C50"/>
    <mergeCell ref="C51:C55"/>
    <mergeCell ref="C57:C60"/>
    <mergeCell ref="F57:F60"/>
    <mergeCell ref="G57:G60"/>
    <mergeCell ref="H57:H60"/>
    <mergeCell ref="B45:B48"/>
    <mergeCell ref="B40:B44"/>
    <mergeCell ref="A4:D4"/>
    <mergeCell ref="A11:A16"/>
    <mergeCell ref="C11:C16"/>
    <mergeCell ref="C7:D7"/>
    <mergeCell ref="B8:B10"/>
    <mergeCell ref="A8:A10"/>
    <mergeCell ref="C6:D6"/>
    <mergeCell ref="C8:C10"/>
    <mergeCell ref="A5:I5"/>
    <mergeCell ref="C29:C34"/>
    <mergeCell ref="B29:B34"/>
    <mergeCell ref="G1:I1"/>
    <mergeCell ref="A2:I2"/>
    <mergeCell ref="A3:D3"/>
    <mergeCell ref="E3:I3"/>
    <mergeCell ref="A17:A22"/>
    <mergeCell ref="A23:A28"/>
    <mergeCell ref="B11:B16"/>
    <mergeCell ref="E4:I4"/>
    <mergeCell ref="A51:A55"/>
    <mergeCell ref="A45:A48"/>
    <mergeCell ref="C45:C48"/>
    <mergeCell ref="C17:C22"/>
    <mergeCell ref="C23:C28"/>
    <mergeCell ref="C35:C39"/>
    <mergeCell ref="A29:A34"/>
    <mergeCell ref="A49:A50"/>
    <mergeCell ref="B51:B55"/>
    <mergeCell ref="B23:B28"/>
    <mergeCell ref="A61:A62"/>
    <mergeCell ref="B61:B62"/>
    <mergeCell ref="C61:C62"/>
    <mergeCell ref="A35:A39"/>
    <mergeCell ref="A40:A44"/>
    <mergeCell ref="B57:B60"/>
    <mergeCell ref="B35:B39"/>
    <mergeCell ref="B49:B50"/>
    <mergeCell ref="A57:A60"/>
    <mergeCell ref="C40:C44"/>
  </mergeCells>
  <printOptions/>
  <pageMargins left="0.7874015748031497" right="0.5118110236220472" top="0.5118110236220472" bottom="0.5118110236220472"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M215"/>
  <sheetViews>
    <sheetView zoomScalePageLayoutView="0" workbookViewId="0" topLeftCell="A1">
      <selection activeCell="K210" sqref="K210"/>
    </sheetView>
  </sheetViews>
  <sheetFormatPr defaultColWidth="9.140625" defaultRowHeight="12.75"/>
  <cols>
    <col min="1" max="1" width="4.140625" style="20" customWidth="1"/>
    <col min="2" max="2" width="10.8515625" style="20" customWidth="1"/>
    <col min="3" max="3" width="29.140625" style="20" customWidth="1"/>
    <col min="4" max="4" width="39.140625" style="20" customWidth="1"/>
    <col min="5" max="8" width="12.28125" style="20" customWidth="1"/>
    <col min="9" max="9" width="16.28125" style="20" customWidth="1"/>
    <col min="10" max="16384" width="9.140625" style="20" customWidth="1"/>
  </cols>
  <sheetData>
    <row r="1" spans="1:9" ht="19.5" customHeight="1">
      <c r="A1" s="46"/>
      <c r="B1" s="46"/>
      <c r="C1" s="46"/>
      <c r="D1" s="46"/>
      <c r="E1" s="46"/>
      <c r="F1" s="46"/>
      <c r="G1" s="82" t="s">
        <v>121</v>
      </c>
      <c r="H1" s="82"/>
      <c r="I1" s="82"/>
    </row>
    <row r="2" spans="1:9" ht="27.75" customHeight="1" thickBot="1">
      <c r="A2" s="86" t="s">
        <v>153</v>
      </c>
      <c r="B2" s="86"/>
      <c r="C2" s="86"/>
      <c r="D2" s="86"/>
      <c r="E2" s="86"/>
      <c r="F2" s="86"/>
      <c r="G2" s="86"/>
      <c r="H2" s="86"/>
      <c r="I2" s="86"/>
    </row>
    <row r="3" spans="1:9" s="11" customFormat="1" ht="24" customHeight="1" thickBot="1">
      <c r="A3" s="68" t="s">
        <v>115</v>
      </c>
      <c r="B3" s="69"/>
      <c r="C3" s="69"/>
      <c r="D3" s="70"/>
      <c r="E3" s="69" t="s">
        <v>358</v>
      </c>
      <c r="F3" s="69"/>
      <c r="G3" s="69"/>
      <c r="H3" s="69"/>
      <c r="I3" s="70"/>
    </row>
    <row r="4" spans="1:12" ht="24" customHeight="1" thickBot="1">
      <c r="A4" s="83" t="s">
        <v>162</v>
      </c>
      <c r="B4" s="84"/>
      <c r="C4" s="84"/>
      <c r="D4" s="85"/>
      <c r="E4" s="83" t="s">
        <v>163</v>
      </c>
      <c r="F4" s="84"/>
      <c r="G4" s="84"/>
      <c r="H4" s="84"/>
      <c r="I4" s="85"/>
      <c r="K4" s="11"/>
      <c r="L4" s="11"/>
    </row>
    <row r="5" spans="1:9" s="11" customFormat="1" ht="24" customHeight="1" thickBot="1">
      <c r="A5" s="75" t="s">
        <v>142</v>
      </c>
      <c r="B5" s="76"/>
      <c r="C5" s="76"/>
      <c r="D5" s="76"/>
      <c r="E5" s="76"/>
      <c r="F5" s="76"/>
      <c r="G5" s="76"/>
      <c r="H5" s="76"/>
      <c r="I5" s="77"/>
    </row>
    <row r="6" spans="1:9" ht="70.5" customHeight="1" thickBot="1">
      <c r="A6" s="31" t="s">
        <v>161</v>
      </c>
      <c r="B6" s="47" t="s">
        <v>154</v>
      </c>
      <c r="C6" s="78" t="s">
        <v>155</v>
      </c>
      <c r="D6" s="79"/>
      <c r="E6" s="47" t="s">
        <v>156</v>
      </c>
      <c r="F6" s="47" t="s">
        <v>157</v>
      </c>
      <c r="G6" s="47" t="s">
        <v>158</v>
      </c>
      <c r="H6" s="47" t="s">
        <v>159</v>
      </c>
      <c r="I6" s="18" t="s">
        <v>160</v>
      </c>
    </row>
    <row r="7" spans="1:9" s="11" customFormat="1" ht="15" customHeight="1">
      <c r="A7" s="48">
        <v>1</v>
      </c>
      <c r="B7" s="49">
        <v>2</v>
      </c>
      <c r="C7" s="80">
        <v>3</v>
      </c>
      <c r="D7" s="81"/>
      <c r="E7" s="49">
        <v>4</v>
      </c>
      <c r="F7" s="49">
        <v>5</v>
      </c>
      <c r="G7" s="49">
        <v>6</v>
      </c>
      <c r="H7" s="49">
        <v>7</v>
      </c>
      <c r="I7" s="19">
        <v>8</v>
      </c>
    </row>
    <row r="8" spans="1:11" s="11" customFormat="1" ht="86.25" customHeight="1">
      <c r="A8" s="1">
        <v>1</v>
      </c>
      <c r="B8" s="1">
        <v>71300000</v>
      </c>
      <c r="C8" s="1" t="s">
        <v>556</v>
      </c>
      <c r="D8" s="1" t="s">
        <v>257</v>
      </c>
      <c r="E8" s="1">
        <v>43206</v>
      </c>
      <c r="F8" s="1" t="s">
        <v>164</v>
      </c>
      <c r="G8" s="1" t="s">
        <v>186</v>
      </c>
      <c r="H8" s="1" t="s">
        <v>186</v>
      </c>
      <c r="I8" s="1" t="s">
        <v>565</v>
      </c>
      <c r="K8" s="50"/>
    </row>
    <row r="9" spans="1:9" s="11" customFormat="1" ht="53.25" customHeight="1">
      <c r="A9" s="1">
        <v>2</v>
      </c>
      <c r="B9" s="1">
        <v>71300000</v>
      </c>
      <c r="C9" s="1" t="s">
        <v>556</v>
      </c>
      <c r="D9" s="1" t="s">
        <v>258</v>
      </c>
      <c r="E9" s="1">
        <v>5700</v>
      </c>
      <c r="F9" s="1" t="s">
        <v>164</v>
      </c>
      <c r="G9" s="1" t="s">
        <v>187</v>
      </c>
      <c r="H9" s="1" t="s">
        <v>188</v>
      </c>
      <c r="I9" s="1"/>
    </row>
    <row r="10" spans="1:9" s="11" customFormat="1" ht="91.5" customHeight="1">
      <c r="A10" s="1">
        <v>3</v>
      </c>
      <c r="B10" s="1">
        <v>45233140</v>
      </c>
      <c r="C10" s="1" t="s">
        <v>260</v>
      </c>
      <c r="D10" s="1" t="s">
        <v>259</v>
      </c>
      <c r="E10" s="1">
        <f>571335+175000-107500</f>
        <v>638835</v>
      </c>
      <c r="F10" s="1" t="s">
        <v>165</v>
      </c>
      <c r="G10" s="1" t="s">
        <v>192</v>
      </c>
      <c r="H10" s="1" t="s">
        <v>3</v>
      </c>
      <c r="I10" s="1" t="s">
        <v>145</v>
      </c>
    </row>
    <row r="11" spans="1:9" s="11" customFormat="1" ht="53.25" customHeight="1">
      <c r="A11" s="1">
        <v>4</v>
      </c>
      <c r="B11" s="1">
        <v>50232100</v>
      </c>
      <c r="C11" s="1" t="s">
        <v>168</v>
      </c>
      <c r="D11" s="1" t="s">
        <v>261</v>
      </c>
      <c r="E11" s="1">
        <v>14712</v>
      </c>
      <c r="F11" s="1" t="s">
        <v>166</v>
      </c>
      <c r="G11" s="1" t="s">
        <v>186</v>
      </c>
      <c r="H11" s="1" t="s">
        <v>186</v>
      </c>
      <c r="I11" s="1"/>
    </row>
    <row r="12" spans="1:9" s="11" customFormat="1" ht="78" customHeight="1">
      <c r="A12" s="1">
        <v>5</v>
      </c>
      <c r="B12" s="1">
        <v>50232100</v>
      </c>
      <c r="C12" s="1" t="s">
        <v>168</v>
      </c>
      <c r="D12" s="1" t="s">
        <v>261</v>
      </c>
      <c r="E12" s="1">
        <v>175500</v>
      </c>
      <c r="F12" s="1" t="s">
        <v>164</v>
      </c>
      <c r="G12" s="1" t="s">
        <v>186</v>
      </c>
      <c r="H12" s="1" t="s">
        <v>190</v>
      </c>
      <c r="I12" s="1" t="s">
        <v>565</v>
      </c>
    </row>
    <row r="13" spans="1:9" s="11" customFormat="1" ht="51" customHeight="1">
      <c r="A13" s="1">
        <v>6</v>
      </c>
      <c r="B13" s="1">
        <v>71300000</v>
      </c>
      <c r="C13" s="1" t="s">
        <v>556</v>
      </c>
      <c r="D13" s="1" t="s">
        <v>262</v>
      </c>
      <c r="E13" s="1">
        <v>2500</v>
      </c>
      <c r="F13" s="1" t="s">
        <v>164</v>
      </c>
      <c r="G13" s="1" t="s">
        <v>186</v>
      </c>
      <c r="H13" s="1" t="s">
        <v>186</v>
      </c>
      <c r="I13" s="1"/>
    </row>
    <row r="14" spans="1:9" s="11" customFormat="1" ht="75.75" customHeight="1">
      <c r="A14" s="1">
        <v>7</v>
      </c>
      <c r="B14" s="1" t="s">
        <v>170</v>
      </c>
      <c r="C14" s="1" t="s">
        <v>169</v>
      </c>
      <c r="D14" s="1" t="s">
        <v>263</v>
      </c>
      <c r="E14" s="1">
        <v>119584</v>
      </c>
      <c r="F14" s="1" t="s">
        <v>165</v>
      </c>
      <c r="G14" s="1" t="s">
        <v>187</v>
      </c>
      <c r="H14" s="1" t="s">
        <v>189</v>
      </c>
      <c r="I14" s="1" t="s">
        <v>565</v>
      </c>
    </row>
    <row r="15" spans="1:9" s="11" customFormat="1" ht="56.25" customHeight="1">
      <c r="A15" s="1">
        <v>8</v>
      </c>
      <c r="B15" s="1">
        <v>45111100</v>
      </c>
      <c r="C15" s="1" t="s">
        <v>171</v>
      </c>
      <c r="D15" s="1" t="s">
        <v>264</v>
      </c>
      <c r="E15" s="1">
        <f>'[2]organizaciuli'!$G$777</f>
        <v>20000</v>
      </c>
      <c r="F15" s="1" t="s">
        <v>164</v>
      </c>
      <c r="G15" s="1" t="s">
        <v>190</v>
      </c>
      <c r="H15" s="1" t="s">
        <v>190</v>
      </c>
      <c r="I15" s="1"/>
    </row>
    <row r="16" spans="1:9" s="11" customFormat="1" ht="86.25" customHeight="1">
      <c r="A16" s="1">
        <v>9</v>
      </c>
      <c r="B16" s="1">
        <v>71300000</v>
      </c>
      <c r="C16" s="1" t="s">
        <v>556</v>
      </c>
      <c r="D16" s="1" t="s">
        <v>265</v>
      </c>
      <c r="E16" s="1">
        <v>2704</v>
      </c>
      <c r="F16" s="1" t="s">
        <v>164</v>
      </c>
      <c r="G16" s="1" t="s">
        <v>186</v>
      </c>
      <c r="H16" s="1" t="s">
        <v>186</v>
      </c>
      <c r="I16" s="1"/>
    </row>
    <row r="17" spans="1:9" s="11" customFormat="1" ht="78" customHeight="1">
      <c r="A17" s="1">
        <v>10</v>
      </c>
      <c r="B17" s="1">
        <v>45451300</v>
      </c>
      <c r="C17" s="1" t="s">
        <v>172</v>
      </c>
      <c r="D17" s="1" t="s">
        <v>266</v>
      </c>
      <c r="E17" s="1">
        <v>129281</v>
      </c>
      <c r="F17" s="1" t="s">
        <v>167</v>
      </c>
      <c r="G17" s="1" t="s">
        <v>187</v>
      </c>
      <c r="H17" s="1" t="s">
        <v>188</v>
      </c>
      <c r="I17" s="1" t="s">
        <v>565</v>
      </c>
    </row>
    <row r="18" spans="1:9" s="11" customFormat="1" ht="83.25" customHeight="1">
      <c r="A18" s="1">
        <v>11</v>
      </c>
      <c r="B18" s="1">
        <v>71300000</v>
      </c>
      <c r="C18" s="1" t="s">
        <v>556</v>
      </c>
      <c r="D18" s="1" t="s">
        <v>267</v>
      </c>
      <c r="E18" s="1">
        <v>3999</v>
      </c>
      <c r="F18" s="1" t="s">
        <v>164</v>
      </c>
      <c r="G18" s="1" t="s">
        <v>186</v>
      </c>
      <c r="H18" s="1" t="s">
        <v>186</v>
      </c>
      <c r="I18" s="1"/>
    </row>
    <row r="19" spans="1:9" s="11" customFormat="1" ht="78" customHeight="1">
      <c r="A19" s="1">
        <v>12</v>
      </c>
      <c r="B19" s="1">
        <v>45261213</v>
      </c>
      <c r="C19" s="1" t="s">
        <v>173</v>
      </c>
      <c r="D19" s="1" t="s">
        <v>268</v>
      </c>
      <c r="E19" s="1">
        <v>184450</v>
      </c>
      <c r="F19" s="1" t="s">
        <v>167</v>
      </c>
      <c r="G19" s="1" t="s">
        <v>187</v>
      </c>
      <c r="H19" s="1" t="s">
        <v>188</v>
      </c>
      <c r="I19" s="1" t="s">
        <v>565</v>
      </c>
    </row>
    <row r="20" spans="1:9" s="11" customFormat="1" ht="117.75" customHeight="1">
      <c r="A20" s="1">
        <v>13</v>
      </c>
      <c r="B20" s="1">
        <v>71300000</v>
      </c>
      <c r="C20" s="1" t="s">
        <v>556</v>
      </c>
      <c r="D20" s="1" t="s">
        <v>269</v>
      </c>
      <c r="E20" s="1">
        <v>6000</v>
      </c>
      <c r="F20" s="1" t="s">
        <v>164</v>
      </c>
      <c r="G20" s="1" t="s">
        <v>186</v>
      </c>
      <c r="H20" s="1" t="s">
        <v>186</v>
      </c>
      <c r="I20" s="1"/>
    </row>
    <row r="21" spans="1:9" s="11" customFormat="1" ht="74.25" customHeight="1">
      <c r="A21" s="1">
        <v>14</v>
      </c>
      <c r="B21" s="1">
        <v>45313100</v>
      </c>
      <c r="C21" s="1" t="s">
        <v>174</v>
      </c>
      <c r="D21" s="1" t="s">
        <v>270</v>
      </c>
      <c r="E21" s="1">
        <v>183500</v>
      </c>
      <c r="F21" s="1" t="s">
        <v>167</v>
      </c>
      <c r="G21" s="1" t="s">
        <v>187</v>
      </c>
      <c r="H21" s="1" t="s">
        <v>188</v>
      </c>
      <c r="I21" s="1" t="s">
        <v>565</v>
      </c>
    </row>
    <row r="22" spans="1:9" s="11" customFormat="1" ht="95.25" customHeight="1">
      <c r="A22" s="1">
        <v>15</v>
      </c>
      <c r="B22" s="1">
        <v>50870000</v>
      </c>
      <c r="C22" s="1" t="s">
        <v>175</v>
      </c>
      <c r="D22" s="1" t="s">
        <v>271</v>
      </c>
      <c r="E22" s="1">
        <f>'[2]organizaciuli'!$G$1097-1100</f>
        <v>48900</v>
      </c>
      <c r="F22" s="1" t="s">
        <v>164</v>
      </c>
      <c r="G22" s="1" t="s">
        <v>187</v>
      </c>
      <c r="H22" s="1" t="s">
        <v>188</v>
      </c>
      <c r="I22" s="1" t="s">
        <v>151</v>
      </c>
    </row>
    <row r="23" spans="1:9" s="11" customFormat="1" ht="87" customHeight="1">
      <c r="A23" s="1">
        <v>16</v>
      </c>
      <c r="B23" s="1">
        <v>90000000</v>
      </c>
      <c r="C23" s="1" t="s">
        <v>176</v>
      </c>
      <c r="D23" s="1" t="s">
        <v>272</v>
      </c>
      <c r="E23" s="1">
        <v>93170</v>
      </c>
      <c r="F23" s="1" t="s">
        <v>166</v>
      </c>
      <c r="G23" s="1" t="s">
        <v>186</v>
      </c>
      <c r="H23" s="1" t="s">
        <v>186</v>
      </c>
      <c r="I23" s="1"/>
    </row>
    <row r="24" spans="1:9" s="11" customFormat="1" ht="78.75" customHeight="1">
      <c r="A24" s="1">
        <v>17</v>
      </c>
      <c r="B24" s="1">
        <v>90000000</v>
      </c>
      <c r="C24" s="1" t="s">
        <v>176</v>
      </c>
      <c r="D24" s="1" t="s">
        <v>272</v>
      </c>
      <c r="E24" s="1">
        <f>1250000-E23</f>
        <v>1156830</v>
      </c>
      <c r="F24" s="1" t="s">
        <v>165</v>
      </c>
      <c r="G24" s="1" t="s">
        <v>186</v>
      </c>
      <c r="H24" s="1" t="s">
        <v>190</v>
      </c>
      <c r="I24" s="1"/>
    </row>
    <row r="25" spans="1:9" s="11" customFormat="1" ht="186.75" customHeight="1">
      <c r="A25" s="1">
        <v>18</v>
      </c>
      <c r="B25" s="1">
        <v>71300000</v>
      </c>
      <c r="C25" s="1" t="s">
        <v>556</v>
      </c>
      <c r="D25" s="1" t="s">
        <v>273</v>
      </c>
      <c r="E25" s="1">
        <v>3642</v>
      </c>
      <c r="F25" s="1" t="s">
        <v>164</v>
      </c>
      <c r="G25" s="1" t="s">
        <v>186</v>
      </c>
      <c r="H25" s="1" t="s">
        <v>186</v>
      </c>
      <c r="I25" s="1"/>
    </row>
    <row r="26" spans="1:9" s="11" customFormat="1" ht="161.25" customHeight="1">
      <c r="A26" s="1">
        <v>19</v>
      </c>
      <c r="B26" s="1">
        <v>45232151</v>
      </c>
      <c r="C26" s="1" t="s">
        <v>177</v>
      </c>
      <c r="D26" s="1" t="s">
        <v>274</v>
      </c>
      <c r="E26" s="1">
        <f>'[1]organizaciuli'!$G$1387-E25-3270</f>
        <v>114488</v>
      </c>
      <c r="F26" s="1" t="s">
        <v>165</v>
      </c>
      <c r="G26" s="1" t="s">
        <v>187</v>
      </c>
      <c r="H26" s="1" t="s">
        <v>100</v>
      </c>
      <c r="I26" s="1" t="s">
        <v>151</v>
      </c>
    </row>
    <row r="27" spans="1:9" s="11" customFormat="1" ht="110.25" customHeight="1">
      <c r="A27" s="1">
        <v>20</v>
      </c>
      <c r="B27" s="1">
        <v>71300000</v>
      </c>
      <c r="C27" s="1" t="s">
        <v>556</v>
      </c>
      <c r="D27" s="1" t="s">
        <v>275</v>
      </c>
      <c r="E27" s="1">
        <f>4065-1950</f>
        <v>2115</v>
      </c>
      <c r="F27" s="1" t="s">
        <v>164</v>
      </c>
      <c r="G27" s="1" t="s">
        <v>186</v>
      </c>
      <c r="H27" s="1" t="s">
        <v>186</v>
      </c>
      <c r="I27" s="1" t="s">
        <v>151</v>
      </c>
    </row>
    <row r="28" spans="1:9" s="11" customFormat="1" ht="99.75" customHeight="1">
      <c r="A28" s="1">
        <v>21</v>
      </c>
      <c r="B28" s="1">
        <v>45232151</v>
      </c>
      <c r="C28" s="1" t="s">
        <v>177</v>
      </c>
      <c r="D28" s="1" t="s">
        <v>276</v>
      </c>
      <c r="E28" s="1">
        <f>88800</f>
        <v>88800</v>
      </c>
      <c r="F28" s="1" t="s">
        <v>165</v>
      </c>
      <c r="G28" s="1" t="s">
        <v>187</v>
      </c>
      <c r="H28" s="1" t="s">
        <v>100</v>
      </c>
      <c r="I28" s="1" t="s">
        <v>565</v>
      </c>
    </row>
    <row r="29" spans="1:9" s="11" customFormat="1" ht="98.25" customHeight="1">
      <c r="A29" s="1">
        <v>22</v>
      </c>
      <c r="B29" s="1">
        <v>45232151</v>
      </c>
      <c r="C29" s="1" t="s">
        <v>177</v>
      </c>
      <c r="D29" s="1" t="s">
        <v>277</v>
      </c>
      <c r="E29" s="1">
        <f>'[2]organizaciuli'!$G$1451+463720-238000</f>
        <v>1025720</v>
      </c>
      <c r="F29" s="1" t="s">
        <v>165</v>
      </c>
      <c r="G29" s="1" t="s">
        <v>187</v>
      </c>
      <c r="H29" s="1" t="s">
        <v>553</v>
      </c>
      <c r="I29" s="1" t="s">
        <v>151</v>
      </c>
    </row>
    <row r="30" spans="1:9" s="11" customFormat="1" ht="78.75" customHeight="1">
      <c r="A30" s="1">
        <v>23</v>
      </c>
      <c r="B30" s="1">
        <v>45232151</v>
      </c>
      <c r="C30" s="1" t="s">
        <v>177</v>
      </c>
      <c r="D30" s="1" t="s">
        <v>278</v>
      </c>
      <c r="E30" s="1">
        <v>255000</v>
      </c>
      <c r="F30" s="1" t="s">
        <v>165</v>
      </c>
      <c r="G30" s="1" t="s">
        <v>187</v>
      </c>
      <c r="H30" s="1" t="s">
        <v>191</v>
      </c>
      <c r="I30" s="1" t="s">
        <v>565</v>
      </c>
    </row>
    <row r="31" spans="1:9" s="11" customFormat="1" ht="48.75" customHeight="1">
      <c r="A31" s="1">
        <v>24</v>
      </c>
      <c r="B31" s="1">
        <v>24300000</v>
      </c>
      <c r="C31" s="1" t="s">
        <v>566</v>
      </c>
      <c r="D31" s="1" t="s">
        <v>279</v>
      </c>
      <c r="E31" s="1">
        <v>0</v>
      </c>
      <c r="F31" s="1" t="s">
        <v>164</v>
      </c>
      <c r="G31" s="1" t="s">
        <v>187</v>
      </c>
      <c r="H31" s="1" t="s">
        <v>191</v>
      </c>
      <c r="I31" s="1"/>
    </row>
    <row r="32" spans="1:9" s="11" customFormat="1" ht="51.75" customHeight="1">
      <c r="A32" s="1">
        <v>25</v>
      </c>
      <c r="B32" s="1">
        <v>90400000</v>
      </c>
      <c r="C32" s="1" t="s">
        <v>179</v>
      </c>
      <c r="D32" s="1" t="s">
        <v>280</v>
      </c>
      <c r="E32" s="1">
        <v>6667</v>
      </c>
      <c r="F32" s="1" t="s">
        <v>166</v>
      </c>
      <c r="G32" s="1" t="s">
        <v>186</v>
      </c>
      <c r="H32" s="1" t="s">
        <v>186</v>
      </c>
      <c r="I32" s="1"/>
    </row>
    <row r="33" spans="1:9" s="11" customFormat="1" ht="57" customHeight="1">
      <c r="A33" s="1">
        <v>26</v>
      </c>
      <c r="B33" s="1">
        <v>90400000</v>
      </c>
      <c r="C33" s="1" t="s">
        <v>179</v>
      </c>
      <c r="D33" s="1" t="s">
        <v>280</v>
      </c>
      <c r="E33" s="1">
        <v>73333</v>
      </c>
      <c r="F33" s="1" t="s">
        <v>164</v>
      </c>
      <c r="G33" s="1" t="s">
        <v>186</v>
      </c>
      <c r="H33" s="1" t="s">
        <v>190</v>
      </c>
      <c r="I33" s="1"/>
    </row>
    <row r="34" spans="1:9" s="11" customFormat="1" ht="277.5" customHeight="1">
      <c r="A34" s="1">
        <v>27</v>
      </c>
      <c r="B34" s="1">
        <v>45232400</v>
      </c>
      <c r="C34" s="1" t="s">
        <v>180</v>
      </c>
      <c r="D34" s="1" t="s">
        <v>281</v>
      </c>
      <c r="E34" s="1">
        <v>1110000</v>
      </c>
      <c r="F34" s="1" t="s">
        <v>178</v>
      </c>
      <c r="G34" s="1" t="s">
        <v>186</v>
      </c>
      <c r="H34" s="1" t="s">
        <v>33</v>
      </c>
      <c r="I34" s="1" t="s">
        <v>557</v>
      </c>
    </row>
    <row r="35" spans="1:9" s="11" customFormat="1" ht="97.5" customHeight="1">
      <c r="A35" s="1">
        <v>28</v>
      </c>
      <c r="B35" s="1">
        <v>71300000</v>
      </c>
      <c r="C35" s="1" t="s">
        <v>556</v>
      </c>
      <c r="D35" s="1" t="s">
        <v>282</v>
      </c>
      <c r="E35" s="1">
        <v>6800</v>
      </c>
      <c r="F35" s="1" t="s">
        <v>164</v>
      </c>
      <c r="G35" s="1" t="s">
        <v>186</v>
      </c>
      <c r="H35" s="1" t="s">
        <v>187</v>
      </c>
      <c r="I35" s="1"/>
    </row>
    <row r="36" spans="1:9" s="11" customFormat="1" ht="99.75" customHeight="1">
      <c r="A36" s="1">
        <v>29</v>
      </c>
      <c r="B36" s="1">
        <v>45332400</v>
      </c>
      <c r="C36" s="1" t="s">
        <v>181</v>
      </c>
      <c r="D36" s="1" t="s">
        <v>283</v>
      </c>
      <c r="E36" s="1">
        <f>494494-35477</f>
        <v>459017</v>
      </c>
      <c r="F36" s="1" t="s">
        <v>165</v>
      </c>
      <c r="G36" s="1" t="s">
        <v>187</v>
      </c>
      <c r="H36" s="1" t="s">
        <v>188</v>
      </c>
      <c r="I36" s="1" t="s">
        <v>151</v>
      </c>
    </row>
    <row r="37" spans="1:9" s="11" customFormat="1" ht="95.25" customHeight="1">
      <c r="A37" s="1">
        <v>30</v>
      </c>
      <c r="B37" s="1">
        <v>71300000</v>
      </c>
      <c r="C37" s="1" t="s">
        <v>556</v>
      </c>
      <c r="D37" s="1" t="s">
        <v>284</v>
      </c>
      <c r="E37" s="1">
        <f>'[2]organizaciuli'!$G$2027-45000</f>
        <v>20000</v>
      </c>
      <c r="F37" s="1" t="s">
        <v>164</v>
      </c>
      <c r="G37" s="1" t="s">
        <v>186</v>
      </c>
      <c r="H37" s="1" t="s">
        <v>193</v>
      </c>
      <c r="I37" s="1" t="s">
        <v>151</v>
      </c>
    </row>
    <row r="38" spans="1:9" s="11" customFormat="1" ht="75.75" customHeight="1">
      <c r="A38" s="1">
        <v>31</v>
      </c>
      <c r="B38" s="1">
        <v>90921000</v>
      </c>
      <c r="C38" s="1" t="s">
        <v>182</v>
      </c>
      <c r="D38" s="1" t="s">
        <v>285</v>
      </c>
      <c r="E38" s="1">
        <v>25000</v>
      </c>
      <c r="F38" s="1" t="s">
        <v>164</v>
      </c>
      <c r="G38" s="1" t="s">
        <v>193</v>
      </c>
      <c r="H38" s="1" t="s">
        <v>101</v>
      </c>
      <c r="I38" s="1" t="s">
        <v>565</v>
      </c>
    </row>
    <row r="39" spans="1:9" s="11" customFormat="1" ht="193.5" customHeight="1">
      <c r="A39" s="1">
        <v>32</v>
      </c>
      <c r="B39" s="1">
        <v>45100000</v>
      </c>
      <c r="C39" s="1" t="s">
        <v>183</v>
      </c>
      <c r="D39" s="1" t="s">
        <v>286</v>
      </c>
      <c r="E39" s="1">
        <v>77204</v>
      </c>
      <c r="F39" s="1" t="s">
        <v>178</v>
      </c>
      <c r="G39" s="1" t="s">
        <v>186</v>
      </c>
      <c r="H39" s="1" t="s">
        <v>186</v>
      </c>
      <c r="I39" s="1" t="s">
        <v>244</v>
      </c>
    </row>
    <row r="40" spans="1:9" s="11" customFormat="1" ht="57.75" customHeight="1">
      <c r="A40" s="1">
        <v>33</v>
      </c>
      <c r="B40" s="1">
        <v>55500000</v>
      </c>
      <c r="C40" s="1" t="s">
        <v>184</v>
      </c>
      <c r="D40" s="1" t="s">
        <v>287</v>
      </c>
      <c r="E40" s="1">
        <v>12279</v>
      </c>
      <c r="F40" s="1" t="s">
        <v>166</v>
      </c>
      <c r="G40" s="1" t="s">
        <v>186</v>
      </c>
      <c r="H40" s="1" t="s">
        <v>186</v>
      </c>
      <c r="I40" s="1"/>
    </row>
    <row r="41" spans="1:9" s="11" customFormat="1" ht="53.25" customHeight="1">
      <c r="A41" s="1">
        <v>34</v>
      </c>
      <c r="B41" s="1">
        <v>55500000</v>
      </c>
      <c r="C41" s="1" t="s">
        <v>185</v>
      </c>
      <c r="D41" s="1" t="s">
        <v>287</v>
      </c>
      <c r="E41" s="1">
        <f>153000-E40</f>
        <v>140721</v>
      </c>
      <c r="F41" s="1" t="s">
        <v>164</v>
      </c>
      <c r="G41" s="1" t="s">
        <v>186</v>
      </c>
      <c r="H41" s="1" t="s">
        <v>102</v>
      </c>
      <c r="I41" s="1"/>
    </row>
    <row r="42" spans="1:9" s="11" customFormat="1" ht="61.5" customHeight="1">
      <c r="A42" s="1">
        <v>35</v>
      </c>
      <c r="B42" s="1">
        <v>33661300</v>
      </c>
      <c r="C42" s="1" t="s">
        <v>194</v>
      </c>
      <c r="D42" s="1" t="s">
        <v>288</v>
      </c>
      <c r="E42" s="1">
        <v>34000</v>
      </c>
      <c r="F42" s="1" t="s">
        <v>164</v>
      </c>
      <c r="G42" s="1" t="s">
        <v>186</v>
      </c>
      <c r="H42" s="1" t="s">
        <v>190</v>
      </c>
      <c r="I42" s="1"/>
    </row>
    <row r="43" spans="1:9" s="11" customFormat="1" ht="61.5" customHeight="1">
      <c r="A43" s="1">
        <v>36</v>
      </c>
      <c r="B43" s="1">
        <v>3121200</v>
      </c>
      <c r="C43" s="1" t="s">
        <v>195</v>
      </c>
      <c r="D43" s="1" t="s">
        <v>289</v>
      </c>
      <c r="E43" s="1">
        <v>1000</v>
      </c>
      <c r="F43" s="1" t="s">
        <v>166</v>
      </c>
      <c r="G43" s="1" t="s">
        <v>190</v>
      </c>
      <c r="H43" s="1" t="s">
        <v>190</v>
      </c>
      <c r="I43" s="1"/>
    </row>
    <row r="44" spans="1:9" s="11" customFormat="1" ht="61.5" customHeight="1">
      <c r="A44" s="1">
        <v>37</v>
      </c>
      <c r="B44" s="1">
        <v>55300000</v>
      </c>
      <c r="C44" s="1" t="s">
        <v>196</v>
      </c>
      <c r="D44" s="1" t="s">
        <v>290</v>
      </c>
      <c r="E44" s="1">
        <v>990</v>
      </c>
      <c r="F44" s="1" t="s">
        <v>166</v>
      </c>
      <c r="G44" s="1" t="s">
        <v>187</v>
      </c>
      <c r="H44" s="1" t="s">
        <v>187</v>
      </c>
      <c r="I44" s="1"/>
    </row>
    <row r="45" spans="1:9" s="11" customFormat="1" ht="43.5" customHeight="1">
      <c r="A45" s="1">
        <v>38</v>
      </c>
      <c r="B45" s="1">
        <v>45111100</v>
      </c>
      <c r="C45" s="1" t="s">
        <v>171</v>
      </c>
      <c r="D45" s="1" t="s">
        <v>291</v>
      </c>
      <c r="E45" s="1">
        <v>1900</v>
      </c>
      <c r="F45" s="1" t="s">
        <v>166</v>
      </c>
      <c r="G45" s="1" t="s">
        <v>186</v>
      </c>
      <c r="H45" s="1" t="s">
        <v>186</v>
      </c>
      <c r="I45" s="1"/>
    </row>
    <row r="46" spans="1:9" s="11" customFormat="1" ht="36.75" customHeight="1">
      <c r="A46" s="1">
        <v>39</v>
      </c>
      <c r="B46" s="1">
        <v>79952100</v>
      </c>
      <c r="C46" s="1" t="s">
        <v>197</v>
      </c>
      <c r="D46" s="1" t="s">
        <v>292</v>
      </c>
      <c r="E46" s="1">
        <v>4000</v>
      </c>
      <c r="F46" s="1" t="s">
        <v>166</v>
      </c>
      <c r="G46" s="1" t="s">
        <v>186</v>
      </c>
      <c r="H46" s="1" t="s">
        <v>186</v>
      </c>
      <c r="I46" s="1"/>
    </row>
    <row r="47" spans="1:9" s="11" customFormat="1" ht="30" customHeight="1">
      <c r="A47" s="1">
        <v>40</v>
      </c>
      <c r="B47" s="1">
        <v>79952100</v>
      </c>
      <c r="C47" s="1" t="s">
        <v>197</v>
      </c>
      <c r="D47" s="1" t="s">
        <v>293</v>
      </c>
      <c r="E47" s="1">
        <v>24870</v>
      </c>
      <c r="F47" s="1" t="s">
        <v>164</v>
      </c>
      <c r="G47" s="1" t="s">
        <v>190</v>
      </c>
      <c r="H47" s="1" t="s">
        <v>190</v>
      </c>
      <c r="I47" s="1"/>
    </row>
    <row r="48" spans="1:9" s="11" customFormat="1" ht="62.25" customHeight="1">
      <c r="A48" s="1">
        <v>41</v>
      </c>
      <c r="B48" s="1">
        <v>60170000</v>
      </c>
      <c r="C48" s="1" t="s">
        <v>198</v>
      </c>
      <c r="D48" s="1" t="s">
        <v>294</v>
      </c>
      <c r="E48" s="1">
        <f>'[1]organizaciuli'!$G$3275-4000</f>
        <v>500</v>
      </c>
      <c r="F48" s="1" t="s">
        <v>164</v>
      </c>
      <c r="G48" s="1" t="s">
        <v>187</v>
      </c>
      <c r="H48" s="1" t="s">
        <v>192</v>
      </c>
      <c r="I48" s="1"/>
    </row>
    <row r="49" spans="1:9" s="11" customFormat="1" ht="32.25" customHeight="1">
      <c r="A49" s="1">
        <v>42</v>
      </c>
      <c r="B49" s="1">
        <v>92620000</v>
      </c>
      <c r="C49" s="1" t="s">
        <v>199</v>
      </c>
      <c r="D49" s="1" t="s">
        <v>295</v>
      </c>
      <c r="E49" s="1">
        <v>12550</v>
      </c>
      <c r="F49" s="1" t="s">
        <v>164</v>
      </c>
      <c r="G49" s="1" t="s">
        <v>190</v>
      </c>
      <c r="H49" s="1" t="s">
        <v>190</v>
      </c>
      <c r="I49" s="1"/>
    </row>
    <row r="50" spans="1:9" s="11" customFormat="1" ht="47.25" customHeight="1">
      <c r="A50" s="1">
        <v>43</v>
      </c>
      <c r="B50" s="1">
        <v>71354000</v>
      </c>
      <c r="C50" s="1" t="s">
        <v>200</v>
      </c>
      <c r="D50" s="1" t="s">
        <v>296</v>
      </c>
      <c r="E50" s="1">
        <f>'[1]organizaciuli'!$G$3691</f>
        <v>20000</v>
      </c>
      <c r="F50" s="1" t="s">
        <v>164</v>
      </c>
      <c r="G50" s="1" t="s">
        <v>186</v>
      </c>
      <c r="H50" s="1" t="s">
        <v>190</v>
      </c>
      <c r="I50" s="1"/>
    </row>
    <row r="51" spans="1:9" s="11" customFormat="1" ht="34.5" customHeight="1">
      <c r="A51" s="1">
        <v>44</v>
      </c>
      <c r="B51" s="1">
        <v>79200000</v>
      </c>
      <c r="C51" s="1" t="s">
        <v>201</v>
      </c>
      <c r="D51" s="1" t="s">
        <v>297</v>
      </c>
      <c r="E51" s="1">
        <f>'[1]organizaciuli'!$G$3851</f>
        <v>18000</v>
      </c>
      <c r="F51" s="1" t="s">
        <v>164</v>
      </c>
      <c r="G51" s="1" t="s">
        <v>190</v>
      </c>
      <c r="H51" s="1" t="s">
        <v>190</v>
      </c>
      <c r="I51" s="1"/>
    </row>
    <row r="52" spans="1:9" s="11" customFormat="1" ht="66.75" customHeight="1">
      <c r="A52" s="1">
        <v>45</v>
      </c>
      <c r="B52" s="1">
        <v>48440000</v>
      </c>
      <c r="C52" s="1" t="s">
        <v>202</v>
      </c>
      <c r="D52" s="1" t="s">
        <v>298</v>
      </c>
      <c r="E52" s="1">
        <v>4720</v>
      </c>
      <c r="F52" s="1" t="s">
        <v>166</v>
      </c>
      <c r="G52" s="1" t="s">
        <v>186</v>
      </c>
      <c r="H52" s="1" t="s">
        <v>186</v>
      </c>
      <c r="I52" s="1"/>
    </row>
    <row r="53" spans="1:9" s="11" customFormat="1" ht="66.75" customHeight="1">
      <c r="A53" s="1">
        <v>46</v>
      </c>
      <c r="B53" s="1">
        <v>72200000</v>
      </c>
      <c r="C53" s="1" t="s">
        <v>203</v>
      </c>
      <c r="D53" s="1" t="s">
        <v>299</v>
      </c>
      <c r="E53" s="1">
        <v>2280</v>
      </c>
      <c r="F53" s="1" t="s">
        <v>166</v>
      </c>
      <c r="G53" s="1" t="s">
        <v>186</v>
      </c>
      <c r="H53" s="1" t="s">
        <v>186</v>
      </c>
      <c r="I53" s="1"/>
    </row>
    <row r="54" spans="1:9" s="11" customFormat="1" ht="33.75" customHeight="1">
      <c r="A54" s="1">
        <v>47</v>
      </c>
      <c r="B54" s="1">
        <v>71310000</v>
      </c>
      <c r="C54" s="1" t="s">
        <v>204</v>
      </c>
      <c r="D54" s="1" t="s">
        <v>300</v>
      </c>
      <c r="E54" s="1">
        <f>'[1]organizaciuli'!$G$3947-24500</f>
        <v>500</v>
      </c>
      <c r="F54" s="1" t="s">
        <v>166</v>
      </c>
      <c r="G54" s="1" t="s">
        <v>186</v>
      </c>
      <c r="H54" s="1" t="s">
        <v>190</v>
      </c>
      <c r="I54" s="1"/>
    </row>
    <row r="55" spans="1:9" s="11" customFormat="1" ht="47.25" customHeight="1">
      <c r="A55" s="1">
        <v>48</v>
      </c>
      <c r="B55" s="1">
        <v>71400000</v>
      </c>
      <c r="C55" s="1" t="s">
        <v>205</v>
      </c>
      <c r="D55" s="1" t="s">
        <v>301</v>
      </c>
      <c r="E55" s="1">
        <f>'[1]organizaciuli'!$G$4139</f>
        <v>120000</v>
      </c>
      <c r="F55" s="1" t="s">
        <v>164</v>
      </c>
      <c r="G55" s="1" t="s">
        <v>245</v>
      </c>
      <c r="H55" s="1" t="s">
        <v>245</v>
      </c>
      <c r="I55" s="1"/>
    </row>
    <row r="56" spans="1:9" s="11" customFormat="1" ht="174.75" customHeight="1">
      <c r="A56" s="1">
        <v>49</v>
      </c>
      <c r="B56" s="1">
        <v>73000000</v>
      </c>
      <c r="C56" s="1" t="s">
        <v>206</v>
      </c>
      <c r="D56" s="1" t="s">
        <v>302</v>
      </c>
      <c r="E56" s="1">
        <v>0</v>
      </c>
      <c r="F56" s="1" t="s">
        <v>166</v>
      </c>
      <c r="G56" s="1" t="s">
        <v>186</v>
      </c>
      <c r="H56" s="1" t="s">
        <v>190</v>
      </c>
      <c r="I56" s="1" t="s">
        <v>135</v>
      </c>
    </row>
    <row r="57" spans="1:9" s="11" customFormat="1" ht="65.25" customHeight="1">
      <c r="A57" s="1">
        <v>50</v>
      </c>
      <c r="B57" s="1">
        <v>22200000</v>
      </c>
      <c r="C57" s="1" t="s">
        <v>207</v>
      </c>
      <c r="D57" s="1" t="s">
        <v>303</v>
      </c>
      <c r="E57" s="4">
        <f>'[3]Лист1'!$D$25</f>
        <v>6300</v>
      </c>
      <c r="F57" s="1" t="s">
        <v>164</v>
      </c>
      <c r="G57" s="1" t="s">
        <v>186</v>
      </c>
      <c r="H57" s="1" t="s">
        <v>190</v>
      </c>
      <c r="I57" s="1"/>
    </row>
    <row r="58" spans="1:9" s="11" customFormat="1" ht="56.25" customHeight="1">
      <c r="A58" s="1">
        <v>51</v>
      </c>
      <c r="B58" s="1">
        <v>79800000</v>
      </c>
      <c r="C58" s="1" t="s">
        <v>103</v>
      </c>
      <c r="D58" s="1" t="s">
        <v>304</v>
      </c>
      <c r="E58" s="4">
        <f>'[3]Лист1'!$D$26-290</f>
        <v>22570</v>
      </c>
      <c r="F58" s="1" t="s">
        <v>164</v>
      </c>
      <c r="G58" s="1" t="s">
        <v>186</v>
      </c>
      <c r="H58" s="1" t="s">
        <v>190</v>
      </c>
      <c r="I58" s="1"/>
    </row>
    <row r="59" spans="1:9" s="11" customFormat="1" ht="63.75" customHeight="1">
      <c r="A59" s="1">
        <v>52</v>
      </c>
      <c r="B59" s="1">
        <v>48312000</v>
      </c>
      <c r="C59" s="1" t="s">
        <v>208</v>
      </c>
      <c r="D59" s="1" t="s">
        <v>305</v>
      </c>
      <c r="E59" s="4">
        <v>290</v>
      </c>
      <c r="F59" s="1" t="s">
        <v>166</v>
      </c>
      <c r="G59" s="1" t="s">
        <v>186</v>
      </c>
      <c r="H59" s="1" t="s">
        <v>190</v>
      </c>
      <c r="I59" s="1"/>
    </row>
    <row r="60" spans="1:9" s="11" customFormat="1" ht="74.25" customHeight="1">
      <c r="A60" s="1">
        <v>53</v>
      </c>
      <c r="B60" s="1">
        <v>48312000</v>
      </c>
      <c r="C60" s="1" t="s">
        <v>208</v>
      </c>
      <c r="D60" s="1" t="s">
        <v>306</v>
      </c>
      <c r="E60" s="1">
        <f>2400+180</f>
        <v>2580</v>
      </c>
      <c r="F60" s="1" t="s">
        <v>166</v>
      </c>
      <c r="G60" s="1" t="s">
        <v>186</v>
      </c>
      <c r="H60" s="1" t="s">
        <v>190</v>
      </c>
      <c r="I60" s="1" t="s">
        <v>353</v>
      </c>
    </row>
    <row r="61" spans="1:9" s="11" customFormat="1" ht="38.25" customHeight="1">
      <c r="A61" s="1">
        <v>54</v>
      </c>
      <c r="B61" s="1">
        <v>228000000</v>
      </c>
      <c r="C61" s="1" t="s">
        <v>209</v>
      </c>
      <c r="D61" s="1" t="s">
        <v>307</v>
      </c>
      <c r="E61" s="4">
        <v>36610</v>
      </c>
      <c r="F61" s="1" t="s">
        <v>164</v>
      </c>
      <c r="G61" s="1" t="s">
        <v>186</v>
      </c>
      <c r="H61" s="1" t="s">
        <v>190</v>
      </c>
      <c r="I61" s="1"/>
    </row>
    <row r="62" spans="1:9" s="11" customFormat="1" ht="94.5" customHeight="1">
      <c r="A62" s="1">
        <v>55</v>
      </c>
      <c r="B62" s="1" t="s">
        <v>210</v>
      </c>
      <c r="C62" s="1" t="s">
        <v>211</v>
      </c>
      <c r="D62" s="1" t="s">
        <v>308</v>
      </c>
      <c r="E62" s="4">
        <v>14596</v>
      </c>
      <c r="F62" s="1" t="s">
        <v>164</v>
      </c>
      <c r="G62" s="1" t="s">
        <v>186</v>
      </c>
      <c r="H62" s="1" t="s">
        <v>190</v>
      </c>
      <c r="I62" s="1"/>
    </row>
    <row r="63" spans="1:9" s="11" customFormat="1" ht="21" customHeight="1">
      <c r="A63" s="1">
        <v>56</v>
      </c>
      <c r="B63" s="1">
        <v>32324000</v>
      </c>
      <c r="C63" s="1" t="s">
        <v>212</v>
      </c>
      <c r="D63" s="17" t="s">
        <v>309</v>
      </c>
      <c r="E63" s="4">
        <v>2680</v>
      </c>
      <c r="F63" s="1" t="s">
        <v>166</v>
      </c>
      <c r="G63" s="1" t="s">
        <v>186</v>
      </c>
      <c r="H63" s="1" t="s">
        <v>193</v>
      </c>
      <c r="I63" s="1"/>
    </row>
    <row r="64" spans="1:9" s="11" customFormat="1" ht="21" customHeight="1">
      <c r="A64" s="1">
        <v>57</v>
      </c>
      <c r="B64" s="1">
        <v>32552100</v>
      </c>
      <c r="C64" s="1" t="s">
        <v>213</v>
      </c>
      <c r="D64" s="17" t="s">
        <v>310</v>
      </c>
      <c r="E64" s="4">
        <v>480</v>
      </c>
      <c r="F64" s="1" t="s">
        <v>166</v>
      </c>
      <c r="G64" s="1" t="s">
        <v>186</v>
      </c>
      <c r="H64" s="1" t="s">
        <v>193</v>
      </c>
      <c r="I64" s="1"/>
    </row>
    <row r="65" spans="1:9" s="11" customFormat="1" ht="77.25" customHeight="1">
      <c r="A65" s="1">
        <v>58</v>
      </c>
      <c r="B65" s="1">
        <v>30000000</v>
      </c>
      <c r="C65" s="1" t="s">
        <v>355</v>
      </c>
      <c r="D65" s="17" t="s">
        <v>311</v>
      </c>
      <c r="E65" s="4">
        <v>19020</v>
      </c>
      <c r="F65" s="1" t="s">
        <v>164</v>
      </c>
      <c r="G65" s="1" t="s">
        <v>186</v>
      </c>
      <c r="H65" s="1" t="s">
        <v>190</v>
      </c>
      <c r="I65" s="1"/>
    </row>
    <row r="66" spans="1:9" s="11" customFormat="1" ht="31.5" customHeight="1">
      <c r="A66" s="1">
        <v>59</v>
      </c>
      <c r="B66" s="1">
        <v>38650000</v>
      </c>
      <c r="C66" s="1" t="s">
        <v>214</v>
      </c>
      <c r="D66" s="17" t="s">
        <v>312</v>
      </c>
      <c r="E66" s="4">
        <v>415</v>
      </c>
      <c r="F66" s="1" t="s">
        <v>166</v>
      </c>
      <c r="G66" s="1" t="s">
        <v>186</v>
      </c>
      <c r="H66" s="1" t="s">
        <v>193</v>
      </c>
      <c r="I66" s="1"/>
    </row>
    <row r="67" spans="1:9" s="11" customFormat="1" ht="47.25" customHeight="1">
      <c r="A67" s="1">
        <v>60</v>
      </c>
      <c r="B67" s="1">
        <v>50312000</v>
      </c>
      <c r="C67" s="1" t="s">
        <v>215</v>
      </c>
      <c r="D67" s="17" t="s">
        <v>313</v>
      </c>
      <c r="E67" s="4">
        <v>12124</v>
      </c>
      <c r="F67" s="1" t="s">
        <v>164</v>
      </c>
      <c r="G67" s="1" t="s">
        <v>186</v>
      </c>
      <c r="H67" s="1" t="s">
        <v>190</v>
      </c>
      <c r="I67" s="1"/>
    </row>
    <row r="68" spans="1:9" s="11" customFormat="1" ht="21" customHeight="1">
      <c r="A68" s="1">
        <v>61</v>
      </c>
      <c r="B68" s="1">
        <v>18521000</v>
      </c>
      <c r="C68" s="1" t="s">
        <v>349</v>
      </c>
      <c r="D68" s="17" t="s">
        <v>314</v>
      </c>
      <c r="E68" s="4">
        <v>150</v>
      </c>
      <c r="F68" s="1" t="s">
        <v>166</v>
      </c>
      <c r="G68" s="1" t="s">
        <v>186</v>
      </c>
      <c r="H68" s="1" t="s">
        <v>193</v>
      </c>
      <c r="I68" s="1"/>
    </row>
    <row r="69" spans="1:9" s="11" customFormat="1" ht="21" customHeight="1">
      <c r="A69" s="1">
        <v>62</v>
      </c>
      <c r="B69" s="1">
        <v>39715200</v>
      </c>
      <c r="C69" s="1" t="s">
        <v>216</v>
      </c>
      <c r="D69" s="17" t="s">
        <v>315</v>
      </c>
      <c r="E69" s="4">
        <v>2010</v>
      </c>
      <c r="F69" s="1" t="s">
        <v>166</v>
      </c>
      <c r="G69" s="1" t="s">
        <v>186</v>
      </c>
      <c r="H69" s="1" t="s">
        <v>193</v>
      </c>
      <c r="I69" s="1"/>
    </row>
    <row r="70" spans="1:9" s="11" customFormat="1" ht="67.5" customHeight="1">
      <c r="A70" s="1">
        <v>63</v>
      </c>
      <c r="B70" s="1">
        <v>39000000</v>
      </c>
      <c r="C70" s="1" t="s">
        <v>217</v>
      </c>
      <c r="D70" s="17" t="s">
        <v>316</v>
      </c>
      <c r="E70" s="4">
        <v>16710</v>
      </c>
      <c r="F70" s="1" t="s">
        <v>164</v>
      </c>
      <c r="G70" s="1" t="s">
        <v>186</v>
      </c>
      <c r="H70" s="1" t="s">
        <v>193</v>
      </c>
      <c r="I70" s="1"/>
    </row>
    <row r="71" spans="1:9" s="11" customFormat="1" ht="45" customHeight="1">
      <c r="A71" s="1">
        <v>64</v>
      </c>
      <c r="B71" s="1">
        <v>39830000</v>
      </c>
      <c r="C71" s="1" t="s">
        <v>218</v>
      </c>
      <c r="D71" s="25" t="s">
        <v>317</v>
      </c>
      <c r="E71" s="4">
        <v>2260</v>
      </c>
      <c r="F71" s="1" t="s">
        <v>166</v>
      </c>
      <c r="G71" s="1" t="s">
        <v>186</v>
      </c>
      <c r="H71" s="1" t="s">
        <v>190</v>
      </c>
      <c r="I71" s="1"/>
    </row>
    <row r="72" spans="1:9" s="11" customFormat="1" ht="41.25" customHeight="1">
      <c r="A72" s="1">
        <v>65</v>
      </c>
      <c r="B72" s="1">
        <v>42512000</v>
      </c>
      <c r="C72" s="1" t="s">
        <v>219</v>
      </c>
      <c r="D72" s="17" t="s">
        <v>318</v>
      </c>
      <c r="E72" s="4">
        <v>5000</v>
      </c>
      <c r="F72" s="1" t="s">
        <v>164</v>
      </c>
      <c r="G72" s="1" t="s">
        <v>186</v>
      </c>
      <c r="H72" s="1" t="s">
        <v>193</v>
      </c>
      <c r="I72" s="1"/>
    </row>
    <row r="73" spans="1:9" s="11" customFormat="1" ht="51.75" customHeight="1">
      <c r="A73" s="1">
        <v>66</v>
      </c>
      <c r="B73" s="1">
        <v>34933000</v>
      </c>
      <c r="C73" s="1" t="s">
        <v>220</v>
      </c>
      <c r="D73" s="17" t="s">
        <v>319</v>
      </c>
      <c r="E73" s="4">
        <v>850</v>
      </c>
      <c r="F73" s="1" t="s">
        <v>164</v>
      </c>
      <c r="G73" s="1" t="s">
        <v>186</v>
      </c>
      <c r="H73" s="1" t="s">
        <v>193</v>
      </c>
      <c r="I73" s="1"/>
    </row>
    <row r="74" spans="1:9" s="11" customFormat="1" ht="21" customHeight="1">
      <c r="A74" s="1">
        <v>67</v>
      </c>
      <c r="B74" s="1">
        <v>42120000</v>
      </c>
      <c r="C74" s="1" t="s">
        <v>221</v>
      </c>
      <c r="D74" s="17" t="s">
        <v>320</v>
      </c>
      <c r="E74" s="4">
        <v>205</v>
      </c>
      <c r="F74" s="1" t="s">
        <v>166</v>
      </c>
      <c r="G74" s="1" t="s">
        <v>186</v>
      </c>
      <c r="H74" s="1" t="s">
        <v>186</v>
      </c>
      <c r="I74" s="1"/>
    </row>
    <row r="75" spans="1:9" s="11" customFormat="1" ht="49.5" customHeight="1">
      <c r="A75" s="1">
        <v>68</v>
      </c>
      <c r="B75" s="1">
        <v>44500000</v>
      </c>
      <c r="C75" s="1" t="s">
        <v>222</v>
      </c>
      <c r="D75" s="17" t="s">
        <v>321</v>
      </c>
      <c r="E75" s="4">
        <v>2470</v>
      </c>
      <c r="F75" s="1" t="s">
        <v>166</v>
      </c>
      <c r="G75" s="1" t="s">
        <v>186</v>
      </c>
      <c r="H75" s="1" t="s">
        <v>190</v>
      </c>
      <c r="I75" s="1"/>
    </row>
    <row r="76" spans="1:9" s="11" customFormat="1" ht="21" customHeight="1">
      <c r="A76" s="1">
        <v>69</v>
      </c>
      <c r="B76" s="1">
        <v>1482000</v>
      </c>
      <c r="C76" s="1" t="s">
        <v>223</v>
      </c>
      <c r="D76" s="17" t="s">
        <v>223</v>
      </c>
      <c r="E76" s="4">
        <v>250</v>
      </c>
      <c r="F76" s="1" t="s">
        <v>166</v>
      </c>
      <c r="G76" s="1" t="s">
        <v>186</v>
      </c>
      <c r="H76" s="1" t="s">
        <v>190</v>
      </c>
      <c r="I76" s="1"/>
    </row>
    <row r="77" spans="1:9" s="11" customFormat="1" ht="83.25" customHeight="1">
      <c r="A77" s="1">
        <v>70</v>
      </c>
      <c r="B77" s="1">
        <v>64211000</v>
      </c>
      <c r="C77" s="1" t="s">
        <v>224</v>
      </c>
      <c r="D77" s="26" t="s">
        <v>322</v>
      </c>
      <c r="E77" s="4">
        <f>16880+135</f>
        <v>17015</v>
      </c>
      <c r="F77" s="1" t="s">
        <v>166</v>
      </c>
      <c r="G77" s="1" t="s">
        <v>186</v>
      </c>
      <c r="H77" s="1" t="s">
        <v>190</v>
      </c>
      <c r="I77" s="1" t="s">
        <v>353</v>
      </c>
    </row>
    <row r="78" spans="1:9" s="11" customFormat="1" ht="92.25" customHeight="1">
      <c r="A78" s="1">
        <v>71</v>
      </c>
      <c r="B78" s="1">
        <v>72400000</v>
      </c>
      <c r="C78" s="1" t="s">
        <v>225</v>
      </c>
      <c r="D78" s="26" t="s">
        <v>323</v>
      </c>
      <c r="E78" s="4">
        <f>3520+995+750+1050+980</f>
        <v>7295</v>
      </c>
      <c r="F78" s="1" t="s">
        <v>166</v>
      </c>
      <c r="G78" s="1" t="s">
        <v>186</v>
      </c>
      <c r="H78" s="1" t="s">
        <v>190</v>
      </c>
      <c r="I78" s="1" t="s">
        <v>352</v>
      </c>
    </row>
    <row r="79" spans="1:9" s="11" customFormat="1" ht="35.25" customHeight="1">
      <c r="A79" s="1">
        <v>72</v>
      </c>
      <c r="B79" s="1">
        <v>64100000</v>
      </c>
      <c r="C79" s="1" t="s">
        <v>226</v>
      </c>
      <c r="D79" s="25" t="s">
        <v>324</v>
      </c>
      <c r="E79" s="4">
        <v>4940</v>
      </c>
      <c r="F79" s="1" t="s">
        <v>166</v>
      </c>
      <c r="G79" s="1" t="s">
        <v>186</v>
      </c>
      <c r="H79" s="1" t="s">
        <v>190</v>
      </c>
      <c r="I79" s="1"/>
    </row>
    <row r="80" spans="1:9" s="11" customFormat="1" ht="104.25" customHeight="1">
      <c r="A80" s="1">
        <v>73</v>
      </c>
      <c r="B80" s="1">
        <v>55100000</v>
      </c>
      <c r="C80" s="1" t="s">
        <v>106</v>
      </c>
      <c r="D80" s="1" t="s">
        <v>325</v>
      </c>
      <c r="E80" s="4">
        <f>'[3]Лист1'!$D$65+1750+1500</f>
        <v>9250</v>
      </c>
      <c r="F80" s="1" t="s">
        <v>166</v>
      </c>
      <c r="G80" s="1" t="s">
        <v>190</v>
      </c>
      <c r="H80" s="1" t="s">
        <v>190</v>
      </c>
      <c r="I80" s="1" t="s">
        <v>152</v>
      </c>
    </row>
    <row r="81" spans="1:9" s="11" customFormat="1" ht="52.5" customHeight="1">
      <c r="A81" s="1">
        <v>74</v>
      </c>
      <c r="B81" s="1">
        <v>9000000</v>
      </c>
      <c r="C81" s="1" t="s">
        <v>227</v>
      </c>
      <c r="D81" s="1" t="s">
        <v>326</v>
      </c>
      <c r="E81" s="1">
        <v>14093</v>
      </c>
      <c r="F81" s="1" t="s">
        <v>166</v>
      </c>
      <c r="G81" s="1" t="s">
        <v>186</v>
      </c>
      <c r="H81" s="1" t="s">
        <v>186</v>
      </c>
      <c r="I81" s="1"/>
    </row>
    <row r="82" spans="1:9" s="11" customFormat="1" ht="45.75" customHeight="1">
      <c r="A82" s="1">
        <v>75</v>
      </c>
      <c r="B82" s="1">
        <v>9000000</v>
      </c>
      <c r="C82" s="1" t="s">
        <v>227</v>
      </c>
      <c r="D82" s="1" t="s">
        <v>326</v>
      </c>
      <c r="E82" s="1">
        <v>161507</v>
      </c>
      <c r="F82" s="1" t="s">
        <v>164</v>
      </c>
      <c r="G82" s="1" t="s">
        <v>186</v>
      </c>
      <c r="H82" s="1" t="s">
        <v>190</v>
      </c>
      <c r="I82" s="1"/>
    </row>
    <row r="83" spans="1:9" s="11" customFormat="1" ht="103.5" customHeight="1">
      <c r="A83" s="1">
        <v>76</v>
      </c>
      <c r="B83" s="1">
        <v>50100000</v>
      </c>
      <c r="C83" s="1" t="s">
        <v>229</v>
      </c>
      <c r="D83" s="25" t="s">
        <v>327</v>
      </c>
      <c r="E83" s="4">
        <v>4800</v>
      </c>
      <c r="F83" s="1" t="s">
        <v>166</v>
      </c>
      <c r="G83" s="1" t="s">
        <v>186</v>
      </c>
      <c r="H83" s="1" t="s">
        <v>186</v>
      </c>
      <c r="I83" s="1"/>
    </row>
    <row r="84" spans="1:9" s="11" customFormat="1" ht="91.5" customHeight="1">
      <c r="A84" s="1">
        <v>77</v>
      </c>
      <c r="B84" s="1" t="s">
        <v>228</v>
      </c>
      <c r="C84" s="1" t="s">
        <v>229</v>
      </c>
      <c r="D84" s="25" t="s">
        <v>327</v>
      </c>
      <c r="E84" s="4">
        <v>19600</v>
      </c>
      <c r="F84" s="1" t="s">
        <v>164</v>
      </c>
      <c r="G84" s="1" t="s">
        <v>186</v>
      </c>
      <c r="H84" s="1" t="s">
        <v>190</v>
      </c>
      <c r="I84" s="1"/>
    </row>
    <row r="85" spans="1:9" s="11" customFormat="1" ht="52.5" customHeight="1">
      <c r="A85" s="1">
        <v>78</v>
      </c>
      <c r="B85" s="1">
        <v>80000000</v>
      </c>
      <c r="C85" s="1" t="s">
        <v>230</v>
      </c>
      <c r="D85" s="1" t="s">
        <v>328</v>
      </c>
      <c r="E85" s="4">
        <f>'[3]Лист1'!$D$80</f>
        <v>500</v>
      </c>
      <c r="F85" s="1" t="s">
        <v>166</v>
      </c>
      <c r="G85" s="1" t="s">
        <v>190</v>
      </c>
      <c r="H85" s="1" t="s">
        <v>190</v>
      </c>
      <c r="I85" s="1"/>
    </row>
    <row r="86" spans="1:9" s="11" customFormat="1" ht="41.25" customHeight="1">
      <c r="A86" s="1">
        <v>79</v>
      </c>
      <c r="B86" s="1" t="s">
        <v>232</v>
      </c>
      <c r="C86" s="1" t="s">
        <v>231</v>
      </c>
      <c r="D86" s="25" t="s">
        <v>329</v>
      </c>
      <c r="E86" s="4">
        <f>'[3]Лист1'!$D$86</f>
        <v>69600</v>
      </c>
      <c r="F86" s="1" t="s">
        <v>166</v>
      </c>
      <c r="G86" s="1" t="s">
        <v>186</v>
      </c>
      <c r="H86" s="1" t="s">
        <v>190</v>
      </c>
      <c r="I86" s="1"/>
    </row>
    <row r="87" spans="1:9" s="11" customFormat="1" ht="48" customHeight="1">
      <c r="A87" s="1">
        <v>80</v>
      </c>
      <c r="B87" s="1" t="s">
        <v>234</v>
      </c>
      <c r="C87" s="1" t="s">
        <v>233</v>
      </c>
      <c r="D87" s="1" t="s">
        <v>330</v>
      </c>
      <c r="E87" s="4">
        <f>'[3]Лист1'!$D$89</f>
        <v>3000</v>
      </c>
      <c r="F87" s="1" t="s">
        <v>166</v>
      </c>
      <c r="G87" s="1" t="s">
        <v>186</v>
      </c>
      <c r="H87" s="1" t="s">
        <v>190</v>
      </c>
      <c r="I87" s="1"/>
    </row>
    <row r="88" spans="1:9" s="11" customFormat="1" ht="48" customHeight="1">
      <c r="A88" s="1">
        <v>81</v>
      </c>
      <c r="B88" s="1">
        <v>85110000</v>
      </c>
      <c r="C88" s="1" t="s">
        <v>235</v>
      </c>
      <c r="D88" s="1" t="s">
        <v>331</v>
      </c>
      <c r="E88" s="4">
        <f>'[3]Лист1'!$D$90</f>
        <v>9900</v>
      </c>
      <c r="F88" s="1" t="s">
        <v>166</v>
      </c>
      <c r="G88" s="1" t="s">
        <v>186</v>
      </c>
      <c r="H88" s="1" t="s">
        <v>190</v>
      </c>
      <c r="I88" s="1" t="s">
        <v>104</v>
      </c>
    </row>
    <row r="89" spans="1:9" s="11" customFormat="1" ht="40.5" customHeight="1">
      <c r="A89" s="1">
        <v>82</v>
      </c>
      <c r="B89" s="1">
        <v>45333000</v>
      </c>
      <c r="C89" s="1" t="s">
        <v>236</v>
      </c>
      <c r="D89" s="17" t="s">
        <v>346</v>
      </c>
      <c r="E89" s="4">
        <v>1920</v>
      </c>
      <c r="F89" s="1" t="s">
        <v>166</v>
      </c>
      <c r="G89" s="1" t="s">
        <v>186</v>
      </c>
      <c r="H89" s="1" t="s">
        <v>246</v>
      </c>
      <c r="I89" s="1"/>
    </row>
    <row r="90" spans="1:9" s="11" customFormat="1" ht="56.25" customHeight="1">
      <c r="A90" s="1">
        <v>83</v>
      </c>
      <c r="B90" s="1">
        <v>66510000</v>
      </c>
      <c r="C90" s="1" t="s">
        <v>237</v>
      </c>
      <c r="D90" s="17" t="s">
        <v>348</v>
      </c>
      <c r="E90" s="4">
        <f>'[3]Лист1'!$D$94</f>
        <v>12600</v>
      </c>
      <c r="F90" s="1" t="s">
        <v>164</v>
      </c>
      <c r="G90" s="1" t="s">
        <v>186</v>
      </c>
      <c r="H90" s="1" t="s">
        <v>190</v>
      </c>
      <c r="I90" s="1"/>
    </row>
    <row r="91" spans="1:9" s="11" customFormat="1" ht="30" customHeight="1">
      <c r="A91" s="1">
        <v>84</v>
      </c>
      <c r="B91" s="1">
        <v>35111520</v>
      </c>
      <c r="C91" s="1" t="s">
        <v>238</v>
      </c>
      <c r="D91" s="17" t="s">
        <v>347</v>
      </c>
      <c r="E91" s="4">
        <f>'[3]Лист1'!$D$95</f>
        <v>6000</v>
      </c>
      <c r="F91" s="1" t="s">
        <v>164</v>
      </c>
      <c r="G91" s="1" t="s">
        <v>187</v>
      </c>
      <c r="H91" s="1" t="s">
        <v>188</v>
      </c>
      <c r="I91" s="1"/>
    </row>
    <row r="92" spans="1:9" s="11" customFormat="1" ht="45" customHeight="1">
      <c r="A92" s="1">
        <v>85</v>
      </c>
      <c r="B92" s="1" t="s">
        <v>486</v>
      </c>
      <c r="C92" s="1" t="s">
        <v>485</v>
      </c>
      <c r="D92" s="17" t="s">
        <v>487</v>
      </c>
      <c r="E92" s="4">
        <v>4700</v>
      </c>
      <c r="F92" s="1" t="s">
        <v>166</v>
      </c>
      <c r="G92" s="1" t="s">
        <v>187</v>
      </c>
      <c r="H92" s="1" t="s">
        <v>187</v>
      </c>
      <c r="I92" s="1"/>
    </row>
    <row r="93" spans="1:9" s="11" customFormat="1" ht="91.5" customHeight="1">
      <c r="A93" s="1">
        <v>86</v>
      </c>
      <c r="B93" s="1">
        <v>34100000</v>
      </c>
      <c r="C93" s="1" t="s">
        <v>239</v>
      </c>
      <c r="D93" s="17" t="s">
        <v>332</v>
      </c>
      <c r="E93" s="4">
        <v>0</v>
      </c>
      <c r="F93" s="1" t="s">
        <v>164</v>
      </c>
      <c r="G93" s="1" t="s">
        <v>187</v>
      </c>
      <c r="H93" s="1" t="s">
        <v>187</v>
      </c>
      <c r="I93" s="1" t="s">
        <v>354</v>
      </c>
    </row>
    <row r="94" spans="1:9" s="11" customFormat="1" ht="106.5" customHeight="1">
      <c r="A94" s="1">
        <v>87</v>
      </c>
      <c r="B94" s="1">
        <v>34100000</v>
      </c>
      <c r="C94" s="1" t="s">
        <v>240</v>
      </c>
      <c r="D94" s="17" t="s">
        <v>333</v>
      </c>
      <c r="E94" s="4">
        <v>33000</v>
      </c>
      <c r="F94" s="1" t="s">
        <v>165</v>
      </c>
      <c r="G94" s="1" t="s">
        <v>33</v>
      </c>
      <c r="H94" s="1" t="s">
        <v>33</v>
      </c>
      <c r="I94" s="1" t="s">
        <v>151</v>
      </c>
    </row>
    <row r="95" spans="1:9" s="11" customFormat="1" ht="30.75" customHeight="1">
      <c r="A95" s="1">
        <v>88</v>
      </c>
      <c r="B95" s="1">
        <v>30200000</v>
      </c>
      <c r="C95" s="1" t="s">
        <v>241</v>
      </c>
      <c r="D95" s="27" t="s">
        <v>334</v>
      </c>
      <c r="E95" s="4">
        <v>13450</v>
      </c>
      <c r="F95" s="1" t="s">
        <v>164</v>
      </c>
      <c r="G95" s="1" t="s">
        <v>247</v>
      </c>
      <c r="H95" s="1" t="s">
        <v>187</v>
      </c>
      <c r="I95" s="1"/>
    </row>
    <row r="96" spans="1:9" s="11" customFormat="1" ht="21" customHeight="1">
      <c r="A96" s="1">
        <v>89</v>
      </c>
      <c r="B96" s="24" t="s">
        <v>122</v>
      </c>
      <c r="C96" s="1" t="s">
        <v>242</v>
      </c>
      <c r="D96" s="27" t="s">
        <v>335</v>
      </c>
      <c r="E96" s="4">
        <v>600</v>
      </c>
      <c r="F96" s="1" t="s">
        <v>166</v>
      </c>
      <c r="G96" s="1" t="s">
        <v>190</v>
      </c>
      <c r="H96" s="1" t="s">
        <v>190</v>
      </c>
      <c r="I96" s="1"/>
    </row>
    <row r="97" spans="1:9" s="11" customFormat="1" ht="54" customHeight="1">
      <c r="A97" s="1">
        <v>90</v>
      </c>
      <c r="B97" s="1">
        <v>71245000</v>
      </c>
      <c r="C97" s="1" t="s">
        <v>243</v>
      </c>
      <c r="D97" s="27" t="s">
        <v>336</v>
      </c>
      <c r="E97" s="4">
        <v>1100</v>
      </c>
      <c r="F97" s="1" t="s">
        <v>166</v>
      </c>
      <c r="G97" s="1" t="s">
        <v>186</v>
      </c>
      <c r="H97" s="1" t="s">
        <v>186</v>
      </c>
      <c r="I97" s="1"/>
    </row>
    <row r="98" spans="1:9" s="11" customFormat="1" ht="75" customHeight="1">
      <c r="A98" s="1">
        <v>91</v>
      </c>
      <c r="B98" s="1">
        <v>30200000</v>
      </c>
      <c r="C98" s="1" t="s">
        <v>241</v>
      </c>
      <c r="D98" s="1" t="s">
        <v>350</v>
      </c>
      <c r="E98" s="4">
        <f>1200+1300+2200+2000+300+300+300+400</f>
        <v>8000</v>
      </c>
      <c r="F98" s="1" t="s">
        <v>164</v>
      </c>
      <c r="G98" s="1" t="s">
        <v>247</v>
      </c>
      <c r="H98" s="1" t="s">
        <v>187</v>
      </c>
      <c r="I98" s="1" t="s">
        <v>353</v>
      </c>
    </row>
    <row r="99" spans="1:9" s="11" customFormat="1" ht="78" customHeight="1">
      <c r="A99" s="1">
        <v>92</v>
      </c>
      <c r="B99" s="1">
        <v>30121100</v>
      </c>
      <c r="C99" s="1" t="s">
        <v>248</v>
      </c>
      <c r="D99" s="1" t="s">
        <v>337</v>
      </c>
      <c r="E99" s="4">
        <v>1400</v>
      </c>
      <c r="F99" s="1" t="s">
        <v>164</v>
      </c>
      <c r="G99" s="1" t="s">
        <v>247</v>
      </c>
      <c r="H99" s="1" t="s">
        <v>187</v>
      </c>
      <c r="I99" s="1" t="s">
        <v>353</v>
      </c>
    </row>
    <row r="100" spans="1:9" s="11" customFormat="1" ht="78" customHeight="1">
      <c r="A100" s="1">
        <v>93</v>
      </c>
      <c r="B100" s="1">
        <v>9000000</v>
      </c>
      <c r="C100" s="1" t="s">
        <v>227</v>
      </c>
      <c r="D100" s="1" t="s">
        <v>338</v>
      </c>
      <c r="E100" s="4">
        <f>2000+1000+2000</f>
        <v>5000</v>
      </c>
      <c r="F100" s="1" t="s">
        <v>164</v>
      </c>
      <c r="G100" s="1" t="s">
        <v>247</v>
      </c>
      <c r="H100" s="1" t="s">
        <v>190</v>
      </c>
      <c r="I100" s="1" t="s">
        <v>353</v>
      </c>
    </row>
    <row r="101" spans="1:9" s="11" customFormat="1" ht="78" customHeight="1">
      <c r="A101" s="1">
        <v>94</v>
      </c>
      <c r="B101" s="1">
        <v>60170000</v>
      </c>
      <c r="C101" s="1" t="s">
        <v>198</v>
      </c>
      <c r="D101" s="1" t="s">
        <v>339</v>
      </c>
      <c r="E101" s="1">
        <v>9500</v>
      </c>
      <c r="F101" s="1" t="s">
        <v>164</v>
      </c>
      <c r="G101" s="1" t="s">
        <v>187</v>
      </c>
      <c r="H101" s="1" t="s">
        <v>191</v>
      </c>
      <c r="I101" s="1" t="s">
        <v>353</v>
      </c>
    </row>
    <row r="102" spans="1:9" s="11" customFormat="1" ht="111" customHeight="1">
      <c r="A102" s="1">
        <v>95</v>
      </c>
      <c r="B102" s="1" t="s">
        <v>249</v>
      </c>
      <c r="C102" s="1" t="s">
        <v>250</v>
      </c>
      <c r="D102" s="51" t="s">
        <v>340</v>
      </c>
      <c r="E102" s="4">
        <v>0</v>
      </c>
      <c r="F102" s="1" t="s">
        <v>166</v>
      </c>
      <c r="G102" s="1" t="s">
        <v>247</v>
      </c>
      <c r="H102" s="1" t="s">
        <v>251</v>
      </c>
      <c r="I102" s="1" t="s">
        <v>150</v>
      </c>
    </row>
    <row r="103" spans="1:9" s="11" customFormat="1" ht="78" customHeight="1">
      <c r="A103" s="1">
        <v>96</v>
      </c>
      <c r="B103" s="1">
        <v>71300000</v>
      </c>
      <c r="C103" s="1" t="s">
        <v>556</v>
      </c>
      <c r="D103" s="1" t="s">
        <v>351</v>
      </c>
      <c r="E103" s="4">
        <v>4000</v>
      </c>
      <c r="F103" s="1" t="s">
        <v>164</v>
      </c>
      <c r="G103" s="1" t="s">
        <v>187</v>
      </c>
      <c r="H103" s="1" t="s">
        <v>187</v>
      </c>
      <c r="I103" s="1" t="s">
        <v>353</v>
      </c>
    </row>
    <row r="104" spans="1:9" s="11" customFormat="1" ht="96.75" customHeight="1">
      <c r="A104" s="1">
        <v>97</v>
      </c>
      <c r="B104" s="1">
        <v>45233260</v>
      </c>
      <c r="C104" s="1" t="s">
        <v>252</v>
      </c>
      <c r="D104" s="1" t="s">
        <v>341</v>
      </c>
      <c r="E104" s="4">
        <f>184000-E103-61500-9887</f>
        <v>108613</v>
      </c>
      <c r="F104" s="1" t="s">
        <v>165</v>
      </c>
      <c r="G104" s="1" t="s">
        <v>187</v>
      </c>
      <c r="H104" s="1" t="s">
        <v>188</v>
      </c>
      <c r="I104" s="1" t="s">
        <v>149</v>
      </c>
    </row>
    <row r="105" spans="1:9" s="11" customFormat="1" ht="75" customHeight="1">
      <c r="A105" s="1">
        <v>98</v>
      </c>
      <c r="B105" s="1" t="s">
        <v>254</v>
      </c>
      <c r="C105" s="51" t="s">
        <v>253</v>
      </c>
      <c r="D105" s="51" t="s">
        <v>342</v>
      </c>
      <c r="E105" s="4">
        <v>4840</v>
      </c>
      <c r="F105" s="1" t="s">
        <v>166</v>
      </c>
      <c r="G105" s="1" t="s">
        <v>187</v>
      </c>
      <c r="H105" s="1" t="s">
        <v>188</v>
      </c>
      <c r="I105" s="1" t="s">
        <v>353</v>
      </c>
    </row>
    <row r="106" spans="1:9" s="11" customFormat="1" ht="78" customHeight="1">
      <c r="A106" s="1">
        <v>99</v>
      </c>
      <c r="B106" s="1">
        <v>45232470</v>
      </c>
      <c r="C106" s="1" t="s">
        <v>256</v>
      </c>
      <c r="D106" s="1" t="s">
        <v>343</v>
      </c>
      <c r="E106" s="4">
        <v>18800</v>
      </c>
      <c r="F106" s="1" t="s">
        <v>165</v>
      </c>
      <c r="G106" s="1" t="s">
        <v>187</v>
      </c>
      <c r="H106" s="1" t="s">
        <v>251</v>
      </c>
      <c r="I106" s="1" t="s">
        <v>353</v>
      </c>
    </row>
    <row r="107" spans="1:9" s="11" customFormat="1" ht="78" customHeight="1">
      <c r="A107" s="1">
        <v>100</v>
      </c>
      <c r="B107" s="1">
        <v>228000000</v>
      </c>
      <c r="C107" s="1" t="s">
        <v>209</v>
      </c>
      <c r="D107" s="1" t="s">
        <v>307</v>
      </c>
      <c r="E107" s="4">
        <v>4500</v>
      </c>
      <c r="F107" s="1" t="s">
        <v>164</v>
      </c>
      <c r="G107" s="1" t="s">
        <v>187</v>
      </c>
      <c r="H107" s="1" t="s">
        <v>190</v>
      </c>
      <c r="I107" s="1" t="s">
        <v>353</v>
      </c>
    </row>
    <row r="108" spans="1:9" s="11" customFormat="1" ht="78" customHeight="1">
      <c r="A108" s="1">
        <v>101</v>
      </c>
      <c r="B108" s="1">
        <v>39000000</v>
      </c>
      <c r="C108" s="1" t="s">
        <v>217</v>
      </c>
      <c r="D108" s="17" t="s">
        <v>345</v>
      </c>
      <c r="E108" s="1">
        <v>1200</v>
      </c>
      <c r="F108" s="1" t="s">
        <v>164</v>
      </c>
      <c r="G108" s="1" t="s">
        <v>187</v>
      </c>
      <c r="H108" s="1" t="s">
        <v>190</v>
      </c>
      <c r="I108" s="1" t="s">
        <v>353</v>
      </c>
    </row>
    <row r="109" spans="1:9" s="11" customFormat="1" ht="78" customHeight="1">
      <c r="A109" s="1">
        <v>102</v>
      </c>
      <c r="B109" s="1">
        <v>30125100</v>
      </c>
      <c r="C109" s="1" t="s">
        <v>255</v>
      </c>
      <c r="D109" s="1" t="s">
        <v>344</v>
      </c>
      <c r="E109" s="1">
        <v>300</v>
      </c>
      <c r="F109" s="1" t="s">
        <v>164</v>
      </c>
      <c r="G109" s="1" t="s">
        <v>187</v>
      </c>
      <c r="H109" s="1" t="s">
        <v>190</v>
      </c>
      <c r="I109" s="1" t="s">
        <v>353</v>
      </c>
    </row>
    <row r="110" spans="1:9" s="11" customFormat="1" ht="115.5" customHeight="1">
      <c r="A110" s="1">
        <v>103</v>
      </c>
      <c r="B110" s="1">
        <v>71300000</v>
      </c>
      <c r="C110" s="1" t="s">
        <v>556</v>
      </c>
      <c r="D110" s="1" t="s">
        <v>424</v>
      </c>
      <c r="E110" s="1">
        <v>19960</v>
      </c>
      <c r="F110" s="1" t="s">
        <v>490</v>
      </c>
      <c r="G110" s="1" t="s">
        <v>187</v>
      </c>
      <c r="H110" s="1" t="s">
        <v>187</v>
      </c>
      <c r="I110" s="1" t="s">
        <v>488</v>
      </c>
    </row>
    <row r="111" spans="1:9" ht="115.5" customHeight="1">
      <c r="A111" s="1">
        <v>104</v>
      </c>
      <c r="B111" s="1">
        <v>71300000</v>
      </c>
      <c r="C111" s="1" t="s">
        <v>556</v>
      </c>
      <c r="D111" s="1" t="s">
        <v>425</v>
      </c>
      <c r="E111" s="1">
        <v>6483</v>
      </c>
      <c r="F111" s="1" t="s">
        <v>490</v>
      </c>
      <c r="G111" s="1" t="s">
        <v>187</v>
      </c>
      <c r="H111" s="1" t="s">
        <v>187</v>
      </c>
      <c r="I111" s="1" t="s">
        <v>488</v>
      </c>
    </row>
    <row r="112" spans="1:9" ht="115.5" customHeight="1">
      <c r="A112" s="1">
        <v>105</v>
      </c>
      <c r="B112" s="1">
        <v>71300000</v>
      </c>
      <c r="C112" s="1" t="s">
        <v>556</v>
      </c>
      <c r="D112" s="1" t="s">
        <v>426</v>
      </c>
      <c r="E112" s="1">
        <v>9600</v>
      </c>
      <c r="F112" s="1" t="s">
        <v>490</v>
      </c>
      <c r="G112" s="1" t="s">
        <v>187</v>
      </c>
      <c r="H112" s="1" t="s">
        <v>187</v>
      </c>
      <c r="I112" s="1" t="s">
        <v>488</v>
      </c>
    </row>
    <row r="113" spans="1:9" ht="136.5" customHeight="1">
      <c r="A113" s="1">
        <v>106</v>
      </c>
      <c r="B113" s="1">
        <v>71300000</v>
      </c>
      <c r="C113" s="1" t="s">
        <v>556</v>
      </c>
      <c r="D113" s="1" t="s">
        <v>427</v>
      </c>
      <c r="E113" s="1">
        <v>33900</v>
      </c>
      <c r="F113" s="1" t="s">
        <v>490</v>
      </c>
      <c r="G113" s="1" t="s">
        <v>187</v>
      </c>
      <c r="H113" s="1" t="s">
        <v>188</v>
      </c>
      <c r="I113" s="1" t="s">
        <v>565</v>
      </c>
    </row>
    <row r="114" spans="1:9" ht="115.5" customHeight="1">
      <c r="A114" s="1">
        <v>107</v>
      </c>
      <c r="B114" s="1">
        <v>71300000</v>
      </c>
      <c r="C114" s="1" t="s">
        <v>556</v>
      </c>
      <c r="D114" s="1" t="s">
        <v>428</v>
      </c>
      <c r="E114" s="1">
        <v>4000</v>
      </c>
      <c r="F114" s="1" t="s">
        <v>490</v>
      </c>
      <c r="G114" s="1" t="s">
        <v>187</v>
      </c>
      <c r="H114" s="1" t="s">
        <v>187</v>
      </c>
      <c r="I114" s="1" t="s">
        <v>488</v>
      </c>
    </row>
    <row r="115" spans="1:9" ht="115.5" customHeight="1">
      <c r="A115" s="1">
        <v>108</v>
      </c>
      <c r="B115" s="1">
        <v>71300000</v>
      </c>
      <c r="C115" s="1" t="s">
        <v>556</v>
      </c>
      <c r="D115" s="1" t="s">
        <v>429</v>
      </c>
      <c r="E115" s="1">
        <v>9000</v>
      </c>
      <c r="F115" s="1" t="s">
        <v>490</v>
      </c>
      <c r="G115" s="1" t="s">
        <v>187</v>
      </c>
      <c r="H115" s="1" t="s">
        <v>187</v>
      </c>
      <c r="I115" s="1" t="s">
        <v>565</v>
      </c>
    </row>
    <row r="116" spans="1:9" ht="115.5" customHeight="1">
      <c r="A116" s="1">
        <v>109</v>
      </c>
      <c r="B116" s="1">
        <v>71300000</v>
      </c>
      <c r="C116" s="1" t="s">
        <v>556</v>
      </c>
      <c r="D116" s="1" t="s">
        <v>430</v>
      </c>
      <c r="E116" s="1">
        <v>3000</v>
      </c>
      <c r="F116" s="1" t="s">
        <v>490</v>
      </c>
      <c r="G116" s="1" t="s">
        <v>187</v>
      </c>
      <c r="H116" s="1" t="s">
        <v>187</v>
      </c>
      <c r="I116" s="1" t="s">
        <v>488</v>
      </c>
    </row>
    <row r="117" spans="1:13" s="53" customFormat="1" ht="154.5" customHeight="1">
      <c r="A117" s="52">
        <v>110</v>
      </c>
      <c r="B117" s="52">
        <v>45244200</v>
      </c>
      <c r="C117" s="52" t="s">
        <v>535</v>
      </c>
      <c r="D117" s="52" t="s">
        <v>508</v>
      </c>
      <c r="E117" s="52">
        <v>1841000</v>
      </c>
      <c r="F117" s="52" t="s">
        <v>165</v>
      </c>
      <c r="G117" s="52" t="s">
        <v>33</v>
      </c>
      <c r="H117" s="52" t="s">
        <v>563</v>
      </c>
      <c r="I117" s="52" t="s">
        <v>148</v>
      </c>
      <c r="K117" s="20"/>
      <c r="L117" s="20"/>
      <c r="M117" s="20"/>
    </row>
    <row r="118" spans="1:9" s="11" customFormat="1" ht="93.75" customHeight="1">
      <c r="A118" s="1">
        <v>111</v>
      </c>
      <c r="B118" s="1">
        <v>45233142</v>
      </c>
      <c r="C118" s="1" t="s">
        <v>533</v>
      </c>
      <c r="D118" s="1" t="s">
        <v>515</v>
      </c>
      <c r="E118" s="22">
        <v>0</v>
      </c>
      <c r="F118" s="1" t="s">
        <v>165</v>
      </c>
      <c r="G118" s="1" t="s">
        <v>192</v>
      </c>
      <c r="H118" s="1" t="s">
        <v>564</v>
      </c>
      <c r="I118" s="1" t="s">
        <v>147</v>
      </c>
    </row>
    <row r="119" spans="1:9" s="11" customFormat="1" ht="92.25" customHeight="1">
      <c r="A119" s="1">
        <v>112</v>
      </c>
      <c r="B119" s="1">
        <v>71300000</v>
      </c>
      <c r="C119" s="1" t="s">
        <v>556</v>
      </c>
      <c r="D119" s="1" t="s">
        <v>558</v>
      </c>
      <c r="E119" s="22">
        <v>5000</v>
      </c>
      <c r="F119" s="1" t="s">
        <v>164</v>
      </c>
      <c r="G119" s="1" t="s">
        <v>187</v>
      </c>
      <c r="H119" s="1" t="s">
        <v>192</v>
      </c>
      <c r="I119" s="1" t="s">
        <v>565</v>
      </c>
    </row>
    <row r="120" spans="1:9" s="53" customFormat="1" ht="117" customHeight="1">
      <c r="A120" s="52">
        <v>113</v>
      </c>
      <c r="B120" s="52">
        <v>45233142</v>
      </c>
      <c r="C120" s="52" t="s">
        <v>533</v>
      </c>
      <c r="D120" s="52" t="s">
        <v>516</v>
      </c>
      <c r="E120" s="54">
        <f>150820+93000</f>
        <v>243820</v>
      </c>
      <c r="F120" s="52" t="s">
        <v>165</v>
      </c>
      <c r="G120" s="52" t="s">
        <v>33</v>
      </c>
      <c r="H120" s="52" t="s">
        <v>33</v>
      </c>
      <c r="I120" s="52" t="s">
        <v>146</v>
      </c>
    </row>
    <row r="121" spans="1:9" s="11" customFormat="1" ht="95.25" customHeight="1">
      <c r="A121" s="1">
        <v>114</v>
      </c>
      <c r="B121" s="1">
        <v>71300000</v>
      </c>
      <c r="C121" s="1" t="s">
        <v>556</v>
      </c>
      <c r="D121" s="1" t="s">
        <v>559</v>
      </c>
      <c r="E121" s="22">
        <v>2000</v>
      </c>
      <c r="F121" s="1" t="s">
        <v>164</v>
      </c>
      <c r="G121" s="1" t="s">
        <v>187</v>
      </c>
      <c r="H121" s="1" t="s">
        <v>192</v>
      </c>
      <c r="I121" s="1" t="s">
        <v>565</v>
      </c>
    </row>
    <row r="122" spans="1:9" s="11" customFormat="1" ht="74.25" customHeight="1">
      <c r="A122" s="1">
        <v>115</v>
      </c>
      <c r="B122" s="1">
        <v>45215500</v>
      </c>
      <c r="C122" s="1" t="s">
        <v>399</v>
      </c>
      <c r="D122" s="1" t="s">
        <v>105</v>
      </c>
      <c r="E122" s="22">
        <f>30000+21000</f>
        <v>51000</v>
      </c>
      <c r="F122" s="1" t="s">
        <v>165</v>
      </c>
      <c r="G122" s="1" t="s">
        <v>33</v>
      </c>
      <c r="H122" s="1" t="s">
        <v>33</v>
      </c>
      <c r="I122" s="1" t="s">
        <v>565</v>
      </c>
    </row>
    <row r="123" spans="1:9" s="11" customFormat="1" ht="78.75" customHeight="1">
      <c r="A123" s="1">
        <v>116</v>
      </c>
      <c r="B123" s="1">
        <v>45211100</v>
      </c>
      <c r="C123" s="1" t="s">
        <v>536</v>
      </c>
      <c r="D123" s="1" t="s">
        <v>531</v>
      </c>
      <c r="E123" s="22">
        <f>8374+6</f>
        <v>8380</v>
      </c>
      <c r="F123" s="1" t="s">
        <v>165</v>
      </c>
      <c r="G123" s="1" t="s">
        <v>192</v>
      </c>
      <c r="H123" s="1" t="s">
        <v>192</v>
      </c>
      <c r="I123" s="1" t="s">
        <v>565</v>
      </c>
    </row>
    <row r="124" spans="1:9" s="11" customFormat="1" ht="83.25" customHeight="1">
      <c r="A124" s="1">
        <v>117</v>
      </c>
      <c r="B124" s="1">
        <v>45442000</v>
      </c>
      <c r="C124" s="1" t="s">
        <v>483</v>
      </c>
      <c r="D124" s="1" t="s">
        <v>532</v>
      </c>
      <c r="E124" s="22">
        <f>4078+2</f>
        <v>4080</v>
      </c>
      <c r="F124" s="1" t="s">
        <v>165</v>
      </c>
      <c r="G124" s="1" t="s">
        <v>33</v>
      </c>
      <c r="H124" s="1" t="s">
        <v>33</v>
      </c>
      <c r="I124" s="1" t="s">
        <v>565</v>
      </c>
    </row>
    <row r="125" spans="1:9" s="11" customFormat="1" ht="103.5" customHeight="1">
      <c r="A125" s="1">
        <v>118</v>
      </c>
      <c r="B125" s="1">
        <v>71300000</v>
      </c>
      <c r="C125" s="1" t="s">
        <v>556</v>
      </c>
      <c r="D125" s="1" t="s">
        <v>560</v>
      </c>
      <c r="E125" s="55">
        <v>0</v>
      </c>
      <c r="F125" s="1" t="s">
        <v>164</v>
      </c>
      <c r="G125" s="1" t="s">
        <v>192</v>
      </c>
      <c r="H125" s="1" t="s">
        <v>192</v>
      </c>
      <c r="I125" s="1" t="s">
        <v>16</v>
      </c>
    </row>
    <row r="126" spans="1:9" s="11" customFormat="1" ht="107.25" customHeight="1">
      <c r="A126" s="1">
        <v>119</v>
      </c>
      <c r="B126" s="1">
        <v>45442110</v>
      </c>
      <c r="C126" s="1" t="s">
        <v>479</v>
      </c>
      <c r="D126" s="1" t="s">
        <v>509</v>
      </c>
      <c r="E126" s="56">
        <v>0</v>
      </c>
      <c r="F126" s="1" t="s">
        <v>165</v>
      </c>
      <c r="G126" s="1" t="s">
        <v>33</v>
      </c>
      <c r="H126" s="1" t="s">
        <v>33</v>
      </c>
      <c r="I126" s="1" t="s">
        <v>16</v>
      </c>
    </row>
    <row r="127" spans="1:9" s="11" customFormat="1" ht="78" customHeight="1">
      <c r="A127" s="1">
        <v>120</v>
      </c>
      <c r="B127" s="1">
        <v>45213315</v>
      </c>
      <c r="C127" s="1" t="s">
        <v>534</v>
      </c>
      <c r="D127" s="1" t="s">
        <v>73</v>
      </c>
      <c r="E127" s="57">
        <f>22000-4620</f>
        <v>17380</v>
      </c>
      <c r="F127" s="1" t="s">
        <v>165</v>
      </c>
      <c r="G127" s="1" t="s">
        <v>33</v>
      </c>
      <c r="H127" s="1" t="s">
        <v>33</v>
      </c>
      <c r="I127" s="1" t="s">
        <v>565</v>
      </c>
    </row>
    <row r="128" spans="1:9" s="11" customFormat="1" ht="79.5" customHeight="1">
      <c r="A128" s="1">
        <v>121</v>
      </c>
      <c r="B128" s="1">
        <v>34992300</v>
      </c>
      <c r="C128" s="1" t="s">
        <v>537</v>
      </c>
      <c r="D128" s="1" t="s">
        <v>511</v>
      </c>
      <c r="E128" s="1">
        <v>15520</v>
      </c>
      <c r="F128" s="1" t="s">
        <v>164</v>
      </c>
      <c r="G128" s="1" t="s">
        <v>33</v>
      </c>
      <c r="H128" s="1" t="s">
        <v>33</v>
      </c>
      <c r="I128" s="1" t="s">
        <v>565</v>
      </c>
    </row>
    <row r="129" spans="1:9" s="11" customFormat="1" ht="75.75" customHeight="1">
      <c r="A129" s="1">
        <v>122</v>
      </c>
      <c r="B129" s="1">
        <v>45233140</v>
      </c>
      <c r="C129" s="1" t="s">
        <v>561</v>
      </c>
      <c r="D129" s="1" t="s">
        <v>510</v>
      </c>
      <c r="E129" s="1">
        <v>8235</v>
      </c>
      <c r="F129" s="1" t="s">
        <v>165</v>
      </c>
      <c r="G129" s="1" t="s">
        <v>33</v>
      </c>
      <c r="H129" s="1" t="s">
        <v>33</v>
      </c>
      <c r="I129" s="1" t="s">
        <v>565</v>
      </c>
    </row>
    <row r="130" spans="1:9" s="11" customFormat="1" ht="102.75" customHeight="1">
      <c r="A130" s="1">
        <v>123</v>
      </c>
      <c r="B130" s="1">
        <v>45232460</v>
      </c>
      <c r="C130" s="1" t="s">
        <v>545</v>
      </c>
      <c r="D130" s="1" t="s">
        <v>512</v>
      </c>
      <c r="E130" s="1">
        <f>138480-53115</f>
        <v>85365</v>
      </c>
      <c r="F130" s="1" t="s">
        <v>165</v>
      </c>
      <c r="G130" s="1" t="s">
        <v>192</v>
      </c>
      <c r="H130" s="1" t="s">
        <v>192</v>
      </c>
      <c r="I130" s="1" t="s">
        <v>15</v>
      </c>
    </row>
    <row r="131" spans="1:9" s="11" customFormat="1" ht="86.25" customHeight="1">
      <c r="A131" s="1">
        <v>124</v>
      </c>
      <c r="B131" s="1">
        <v>32410000</v>
      </c>
      <c r="C131" s="1" t="s">
        <v>544</v>
      </c>
      <c r="D131" s="1" t="s">
        <v>517</v>
      </c>
      <c r="E131" s="1">
        <f>52000-2100</f>
        <v>49900</v>
      </c>
      <c r="F131" s="1" t="s">
        <v>164</v>
      </c>
      <c r="G131" s="1" t="s">
        <v>192</v>
      </c>
      <c r="H131" s="1" t="s">
        <v>33</v>
      </c>
      <c r="I131" s="1" t="s">
        <v>565</v>
      </c>
    </row>
    <row r="132" spans="1:9" s="11" customFormat="1" ht="76.5" customHeight="1">
      <c r="A132" s="1">
        <v>125</v>
      </c>
      <c r="B132" s="1">
        <v>45442180</v>
      </c>
      <c r="C132" s="1" t="s">
        <v>551</v>
      </c>
      <c r="D132" s="1" t="s">
        <v>518</v>
      </c>
      <c r="E132" s="1">
        <v>3650</v>
      </c>
      <c r="F132" s="1" t="s">
        <v>164</v>
      </c>
      <c r="G132" s="1" t="s">
        <v>33</v>
      </c>
      <c r="H132" s="1" t="s">
        <v>33</v>
      </c>
      <c r="I132" s="1" t="s">
        <v>565</v>
      </c>
    </row>
    <row r="133" spans="1:9" s="11" customFormat="1" ht="76.5" customHeight="1">
      <c r="A133" s="1">
        <v>126</v>
      </c>
      <c r="B133" s="1">
        <v>79212000</v>
      </c>
      <c r="C133" s="1" t="s">
        <v>552</v>
      </c>
      <c r="D133" s="1" t="s">
        <v>514</v>
      </c>
      <c r="E133" s="1">
        <v>5000</v>
      </c>
      <c r="F133" s="1" t="s">
        <v>164</v>
      </c>
      <c r="G133" s="1" t="s">
        <v>192</v>
      </c>
      <c r="H133" s="1" t="s">
        <v>192</v>
      </c>
      <c r="I133" s="1" t="s">
        <v>565</v>
      </c>
    </row>
    <row r="134" spans="1:9" s="11" customFormat="1" ht="78" customHeight="1">
      <c r="A134" s="1">
        <v>127</v>
      </c>
      <c r="B134" s="1">
        <v>71354000</v>
      </c>
      <c r="C134" s="1" t="s">
        <v>200</v>
      </c>
      <c r="D134" s="1" t="s">
        <v>513</v>
      </c>
      <c r="E134" s="1">
        <v>6000</v>
      </c>
      <c r="F134" s="1" t="s">
        <v>164</v>
      </c>
      <c r="G134" s="1" t="s">
        <v>192</v>
      </c>
      <c r="H134" s="1" t="s">
        <v>192</v>
      </c>
      <c r="I134" s="1" t="s">
        <v>565</v>
      </c>
    </row>
    <row r="135" spans="1:9" s="11" customFormat="1" ht="75.75" customHeight="1">
      <c r="A135" s="1">
        <v>128</v>
      </c>
      <c r="B135" s="1">
        <v>45221119</v>
      </c>
      <c r="C135" s="1" t="s">
        <v>498</v>
      </c>
      <c r="D135" s="1" t="s">
        <v>519</v>
      </c>
      <c r="E135" s="1">
        <v>4000</v>
      </c>
      <c r="F135" s="1" t="s">
        <v>164</v>
      </c>
      <c r="G135" s="1" t="s">
        <v>192</v>
      </c>
      <c r="H135" s="1" t="s">
        <v>564</v>
      </c>
      <c r="I135" s="1" t="s">
        <v>565</v>
      </c>
    </row>
    <row r="136" spans="1:9" s="11" customFormat="1" ht="73.5" customHeight="1">
      <c r="A136" s="1">
        <v>129</v>
      </c>
      <c r="B136" s="1">
        <v>30200000</v>
      </c>
      <c r="C136" s="1" t="s">
        <v>550</v>
      </c>
      <c r="D136" s="1" t="s">
        <v>520</v>
      </c>
      <c r="E136" s="1">
        <f>1600+4500+700+1300+1300+1500+2600+1250</f>
        <v>14750</v>
      </c>
      <c r="F136" s="1" t="s">
        <v>164</v>
      </c>
      <c r="G136" s="1" t="s">
        <v>192</v>
      </c>
      <c r="H136" s="1" t="s">
        <v>564</v>
      </c>
      <c r="I136" s="1" t="s">
        <v>565</v>
      </c>
    </row>
    <row r="137" spans="1:9" s="11" customFormat="1" ht="81" customHeight="1">
      <c r="A137" s="1">
        <v>130</v>
      </c>
      <c r="B137" s="1">
        <v>42512000</v>
      </c>
      <c r="C137" s="1" t="s">
        <v>219</v>
      </c>
      <c r="D137" s="1" t="s">
        <v>521</v>
      </c>
      <c r="E137" s="1">
        <f>1600+1500+1600+4000</f>
        <v>8700</v>
      </c>
      <c r="F137" s="1" t="s">
        <v>164</v>
      </c>
      <c r="G137" s="1" t="s">
        <v>192</v>
      </c>
      <c r="H137" s="1" t="s">
        <v>192</v>
      </c>
      <c r="I137" s="1" t="s">
        <v>565</v>
      </c>
    </row>
    <row r="138" spans="1:9" s="11" customFormat="1" ht="82.5" customHeight="1">
      <c r="A138" s="1">
        <v>131</v>
      </c>
      <c r="B138" s="24" t="s">
        <v>540</v>
      </c>
      <c r="C138" s="1" t="s">
        <v>539</v>
      </c>
      <c r="D138" s="1" t="s">
        <v>522</v>
      </c>
      <c r="E138" s="1">
        <v>4600</v>
      </c>
      <c r="F138" s="1" t="s">
        <v>164</v>
      </c>
      <c r="G138" s="1" t="s">
        <v>192</v>
      </c>
      <c r="H138" s="1" t="s">
        <v>192</v>
      </c>
      <c r="I138" s="1" t="s">
        <v>565</v>
      </c>
    </row>
    <row r="139" spans="1:9" s="11" customFormat="1" ht="80.25" customHeight="1">
      <c r="A139" s="1">
        <v>132</v>
      </c>
      <c r="B139" s="1">
        <v>50110000</v>
      </c>
      <c r="C139" s="1" t="s">
        <v>549</v>
      </c>
      <c r="D139" s="1" t="s">
        <v>523</v>
      </c>
      <c r="E139" s="1">
        <v>5000</v>
      </c>
      <c r="F139" s="1" t="s">
        <v>164</v>
      </c>
      <c r="G139" s="1" t="s">
        <v>192</v>
      </c>
      <c r="H139" s="1" t="s">
        <v>564</v>
      </c>
      <c r="I139" s="1" t="s">
        <v>565</v>
      </c>
    </row>
    <row r="140" spans="1:9" s="11" customFormat="1" ht="74.25" customHeight="1">
      <c r="A140" s="1">
        <v>133</v>
      </c>
      <c r="B140" s="1">
        <v>39711110</v>
      </c>
      <c r="C140" s="1" t="s">
        <v>541</v>
      </c>
      <c r="D140" s="1" t="s">
        <v>524</v>
      </c>
      <c r="E140" s="1">
        <f>1800+1350</f>
        <v>3150</v>
      </c>
      <c r="F140" s="1" t="s">
        <v>166</v>
      </c>
      <c r="G140" s="1" t="s">
        <v>187</v>
      </c>
      <c r="H140" s="1" t="s">
        <v>192</v>
      </c>
      <c r="I140" s="1" t="s">
        <v>565</v>
      </c>
    </row>
    <row r="141" spans="1:9" s="11" customFormat="1" ht="87" customHeight="1">
      <c r="A141" s="1">
        <v>134</v>
      </c>
      <c r="B141" s="1">
        <v>39130000</v>
      </c>
      <c r="C141" s="1" t="s">
        <v>542</v>
      </c>
      <c r="D141" s="1" t="s">
        <v>525</v>
      </c>
      <c r="E141" s="1">
        <f>920+1700+2800+300+500</f>
        <v>6220</v>
      </c>
      <c r="F141" s="1" t="s">
        <v>164</v>
      </c>
      <c r="G141" s="1" t="s">
        <v>187</v>
      </c>
      <c r="H141" s="1" t="s">
        <v>192</v>
      </c>
      <c r="I141" s="1" t="s">
        <v>565</v>
      </c>
    </row>
    <row r="142" spans="1:9" s="11" customFormat="1" ht="74.25" customHeight="1">
      <c r="A142" s="1">
        <v>135</v>
      </c>
      <c r="B142" s="1">
        <v>38650000</v>
      </c>
      <c r="C142" s="1" t="s">
        <v>214</v>
      </c>
      <c r="D142" s="1" t="s">
        <v>526</v>
      </c>
      <c r="E142" s="1">
        <v>480</v>
      </c>
      <c r="F142" s="1" t="s">
        <v>166</v>
      </c>
      <c r="G142" s="1" t="s">
        <v>187</v>
      </c>
      <c r="H142" s="1" t="s">
        <v>192</v>
      </c>
      <c r="I142" s="1" t="s">
        <v>565</v>
      </c>
    </row>
    <row r="143" spans="1:9" s="11" customFormat="1" ht="76.5" customHeight="1">
      <c r="A143" s="1">
        <v>136</v>
      </c>
      <c r="B143" s="1">
        <v>30100000</v>
      </c>
      <c r="C143" s="1" t="s">
        <v>543</v>
      </c>
      <c r="D143" s="1" t="s">
        <v>527</v>
      </c>
      <c r="E143" s="1">
        <v>600</v>
      </c>
      <c r="F143" s="1" t="s">
        <v>164</v>
      </c>
      <c r="G143" s="1" t="s">
        <v>33</v>
      </c>
      <c r="H143" s="1" t="s">
        <v>33</v>
      </c>
      <c r="I143" s="1" t="s">
        <v>565</v>
      </c>
    </row>
    <row r="144" spans="1:9" s="11" customFormat="1" ht="72.75" customHeight="1">
      <c r="A144" s="1">
        <v>137</v>
      </c>
      <c r="B144" s="1">
        <v>60170000</v>
      </c>
      <c r="C144" s="1" t="s">
        <v>198</v>
      </c>
      <c r="D144" s="1" t="s">
        <v>528</v>
      </c>
      <c r="E144" s="1">
        <v>4450</v>
      </c>
      <c r="F144" s="1" t="s">
        <v>164</v>
      </c>
      <c r="G144" s="1" t="s">
        <v>192</v>
      </c>
      <c r="H144" s="1" t="s">
        <v>564</v>
      </c>
      <c r="I144" s="1" t="s">
        <v>565</v>
      </c>
    </row>
    <row r="145" spans="1:9" s="11" customFormat="1" ht="72.75" customHeight="1">
      <c r="A145" s="1">
        <v>138</v>
      </c>
      <c r="B145" s="1">
        <v>32410000</v>
      </c>
      <c r="C145" s="1" t="s">
        <v>544</v>
      </c>
      <c r="D145" s="1" t="s">
        <v>529</v>
      </c>
      <c r="E145" s="1">
        <v>300</v>
      </c>
      <c r="F145" s="1" t="s">
        <v>164</v>
      </c>
      <c r="G145" s="1" t="s">
        <v>192</v>
      </c>
      <c r="H145" s="1" t="s">
        <v>33</v>
      </c>
      <c r="I145" s="1" t="s">
        <v>565</v>
      </c>
    </row>
    <row r="146" spans="1:9" s="11" customFormat="1" ht="74.25" customHeight="1">
      <c r="A146" s="1">
        <v>139</v>
      </c>
      <c r="B146" s="1">
        <v>50110000</v>
      </c>
      <c r="C146" s="1" t="s">
        <v>549</v>
      </c>
      <c r="D146" s="1" t="s">
        <v>523</v>
      </c>
      <c r="E146" s="1">
        <v>1000</v>
      </c>
      <c r="F146" s="1" t="s">
        <v>164</v>
      </c>
      <c r="G146" s="1" t="s">
        <v>192</v>
      </c>
      <c r="H146" s="1" t="s">
        <v>33</v>
      </c>
      <c r="I146" s="1" t="s">
        <v>565</v>
      </c>
    </row>
    <row r="147" spans="1:9" s="11" customFormat="1" ht="72.75" customHeight="1">
      <c r="A147" s="1">
        <v>140</v>
      </c>
      <c r="B147" s="1">
        <v>35111000</v>
      </c>
      <c r="C147" s="1" t="s">
        <v>18</v>
      </c>
      <c r="D147" s="1" t="s">
        <v>530</v>
      </c>
      <c r="E147" s="1">
        <v>5000</v>
      </c>
      <c r="F147" s="1" t="s">
        <v>164</v>
      </c>
      <c r="G147" s="1" t="s">
        <v>192</v>
      </c>
      <c r="H147" s="1" t="s">
        <v>33</v>
      </c>
      <c r="I147" s="1" t="s">
        <v>565</v>
      </c>
    </row>
    <row r="148" spans="1:9" s="11" customFormat="1" ht="72.75" customHeight="1">
      <c r="A148" s="1">
        <v>141</v>
      </c>
      <c r="B148" s="1">
        <v>44482200</v>
      </c>
      <c r="C148" s="1" t="s">
        <v>547</v>
      </c>
      <c r="D148" s="1" t="s">
        <v>546</v>
      </c>
      <c r="E148" s="1">
        <v>3000</v>
      </c>
      <c r="F148" s="1" t="s">
        <v>166</v>
      </c>
      <c r="G148" s="1" t="s">
        <v>192</v>
      </c>
      <c r="H148" s="1" t="s">
        <v>192</v>
      </c>
      <c r="I148" s="1" t="s">
        <v>565</v>
      </c>
    </row>
    <row r="149" spans="1:9" ht="81" customHeight="1">
      <c r="A149" s="1">
        <v>142</v>
      </c>
      <c r="B149" s="21">
        <v>22800000</v>
      </c>
      <c r="C149" s="21" t="s">
        <v>548</v>
      </c>
      <c r="D149" s="21" t="s">
        <v>307</v>
      </c>
      <c r="E149" s="21">
        <v>700</v>
      </c>
      <c r="F149" s="1" t="s">
        <v>164</v>
      </c>
      <c r="G149" s="1" t="s">
        <v>192</v>
      </c>
      <c r="H149" s="1" t="s">
        <v>564</v>
      </c>
      <c r="I149" s="1" t="s">
        <v>565</v>
      </c>
    </row>
    <row r="150" spans="1:9" ht="72.75" customHeight="1">
      <c r="A150" s="1">
        <v>143</v>
      </c>
      <c r="B150" s="1">
        <v>30125100</v>
      </c>
      <c r="C150" s="1" t="s">
        <v>255</v>
      </c>
      <c r="D150" s="21" t="s">
        <v>562</v>
      </c>
      <c r="E150" s="21">
        <v>500</v>
      </c>
      <c r="F150" s="1" t="s">
        <v>164</v>
      </c>
      <c r="G150" s="1" t="s">
        <v>192</v>
      </c>
      <c r="H150" s="1" t="s">
        <v>192</v>
      </c>
      <c r="I150" s="1" t="s">
        <v>565</v>
      </c>
    </row>
    <row r="151" spans="1:9" ht="83.25" customHeight="1">
      <c r="A151" s="1">
        <v>144</v>
      </c>
      <c r="B151" s="1">
        <v>44500000</v>
      </c>
      <c r="C151" s="1" t="s">
        <v>222</v>
      </c>
      <c r="D151" s="21" t="s">
        <v>538</v>
      </c>
      <c r="E151" s="21">
        <v>2000</v>
      </c>
      <c r="F151" s="1" t="s">
        <v>164</v>
      </c>
      <c r="G151" s="1" t="s">
        <v>192</v>
      </c>
      <c r="H151" s="1" t="s">
        <v>564</v>
      </c>
      <c r="I151" s="1" t="s">
        <v>565</v>
      </c>
    </row>
    <row r="152" spans="1:9" ht="83.25" customHeight="1">
      <c r="A152" s="1">
        <v>145</v>
      </c>
      <c r="B152" s="1">
        <v>71300000</v>
      </c>
      <c r="C152" s="1" t="s">
        <v>556</v>
      </c>
      <c r="D152" s="58" t="s">
        <v>554</v>
      </c>
      <c r="E152" s="59">
        <v>50000</v>
      </c>
      <c r="F152" s="1" t="s">
        <v>165</v>
      </c>
      <c r="G152" s="1" t="s">
        <v>192</v>
      </c>
      <c r="H152" s="1" t="s">
        <v>564</v>
      </c>
      <c r="I152" s="1" t="s">
        <v>565</v>
      </c>
    </row>
    <row r="153" spans="1:9" ht="93.75" customHeight="1">
      <c r="A153" s="1">
        <v>146</v>
      </c>
      <c r="B153" s="1">
        <v>71300000</v>
      </c>
      <c r="C153" s="1" t="s">
        <v>556</v>
      </c>
      <c r="D153" s="58" t="s">
        <v>555</v>
      </c>
      <c r="E153" s="59">
        <f>10000-3100</f>
        <v>6900</v>
      </c>
      <c r="F153" s="1" t="s">
        <v>165</v>
      </c>
      <c r="G153" s="1" t="s">
        <v>192</v>
      </c>
      <c r="H153" s="1" t="s">
        <v>564</v>
      </c>
      <c r="I153" s="1" t="s">
        <v>145</v>
      </c>
    </row>
    <row r="154" spans="1:9" ht="105" customHeight="1">
      <c r="A154" s="1">
        <v>147</v>
      </c>
      <c r="B154" s="1" t="s">
        <v>568</v>
      </c>
      <c r="C154" s="1" t="s">
        <v>567</v>
      </c>
      <c r="D154" s="1" t="s">
        <v>0</v>
      </c>
      <c r="E154" s="1">
        <v>5000</v>
      </c>
      <c r="F154" s="1" t="s">
        <v>166</v>
      </c>
      <c r="G154" s="1" t="s">
        <v>192</v>
      </c>
      <c r="H154" s="1" t="s">
        <v>33</v>
      </c>
      <c r="I154" s="1"/>
    </row>
    <row r="155" spans="1:9" ht="90" customHeight="1">
      <c r="A155" s="1">
        <v>148</v>
      </c>
      <c r="B155" s="1">
        <v>71248000</v>
      </c>
      <c r="C155" s="1" t="s">
        <v>1</v>
      </c>
      <c r="D155" s="1" t="s">
        <v>2</v>
      </c>
      <c r="E155" s="1">
        <v>6220</v>
      </c>
      <c r="F155" s="1" t="s">
        <v>166</v>
      </c>
      <c r="G155" s="1" t="s">
        <v>192</v>
      </c>
      <c r="H155" s="1" t="s">
        <v>553</v>
      </c>
      <c r="I155" s="1"/>
    </row>
    <row r="156" spans="1:9" ht="90" customHeight="1">
      <c r="A156" s="1">
        <v>149</v>
      </c>
      <c r="B156" s="1">
        <v>51110000</v>
      </c>
      <c r="C156" s="1" t="s">
        <v>4</v>
      </c>
      <c r="D156" s="1" t="s">
        <v>5</v>
      </c>
      <c r="E156" s="1">
        <v>1050</v>
      </c>
      <c r="F156" s="1" t="s">
        <v>166</v>
      </c>
      <c r="G156" s="1" t="s">
        <v>192</v>
      </c>
      <c r="H156" s="1" t="s">
        <v>192</v>
      </c>
      <c r="I156" s="1"/>
    </row>
    <row r="157" spans="1:9" ht="88.5">
      <c r="A157" s="21">
        <v>149</v>
      </c>
      <c r="B157" s="1">
        <v>38650000</v>
      </c>
      <c r="C157" s="1" t="s">
        <v>214</v>
      </c>
      <c r="D157" s="1" t="s">
        <v>526</v>
      </c>
      <c r="E157" s="1">
        <v>1900</v>
      </c>
      <c r="F157" s="1" t="s">
        <v>166</v>
      </c>
      <c r="G157" s="1" t="s">
        <v>33</v>
      </c>
      <c r="H157" s="1" t="s">
        <v>33</v>
      </c>
      <c r="I157" s="1" t="s">
        <v>15</v>
      </c>
    </row>
    <row r="158" spans="1:9" ht="97.5" customHeight="1">
      <c r="A158" s="21">
        <v>150</v>
      </c>
      <c r="B158" s="21">
        <v>71630000</v>
      </c>
      <c r="C158" s="21" t="s">
        <v>6</v>
      </c>
      <c r="D158" s="21" t="s">
        <v>17</v>
      </c>
      <c r="E158" s="1">
        <v>4960</v>
      </c>
      <c r="F158" s="1" t="s">
        <v>166</v>
      </c>
      <c r="G158" s="1" t="s">
        <v>192</v>
      </c>
      <c r="H158" s="1" t="s">
        <v>192</v>
      </c>
      <c r="I158" s="1" t="s">
        <v>15</v>
      </c>
    </row>
    <row r="159" spans="1:9" ht="88.5">
      <c r="A159" s="21">
        <v>151</v>
      </c>
      <c r="B159" s="24" t="s">
        <v>540</v>
      </c>
      <c r="C159" s="1" t="s">
        <v>539</v>
      </c>
      <c r="D159" s="1" t="s">
        <v>522</v>
      </c>
      <c r="E159" s="1">
        <v>2000</v>
      </c>
      <c r="F159" s="1" t="s">
        <v>164</v>
      </c>
      <c r="G159" s="1" t="s">
        <v>192</v>
      </c>
      <c r="H159" s="1" t="s">
        <v>564</v>
      </c>
      <c r="I159" s="1" t="s">
        <v>15</v>
      </c>
    </row>
    <row r="160" spans="1:9" ht="88.5">
      <c r="A160" s="21">
        <v>152</v>
      </c>
      <c r="B160" s="1">
        <v>50110000</v>
      </c>
      <c r="C160" s="1" t="s">
        <v>549</v>
      </c>
      <c r="D160" s="1" t="s">
        <v>523</v>
      </c>
      <c r="E160" s="1">
        <f>4000+4500</f>
        <v>8500</v>
      </c>
      <c r="F160" s="1" t="s">
        <v>164</v>
      </c>
      <c r="G160" s="1" t="s">
        <v>192</v>
      </c>
      <c r="H160" s="1" t="s">
        <v>564</v>
      </c>
      <c r="I160" s="1" t="s">
        <v>15</v>
      </c>
    </row>
    <row r="161" spans="1:9" ht="88.5">
      <c r="A161" s="21">
        <v>153</v>
      </c>
      <c r="B161" s="1">
        <v>42512000</v>
      </c>
      <c r="C161" s="1" t="s">
        <v>219</v>
      </c>
      <c r="D161" s="1" t="s">
        <v>7</v>
      </c>
      <c r="E161" s="1">
        <v>2250</v>
      </c>
      <c r="F161" s="1" t="s">
        <v>164</v>
      </c>
      <c r="G161" s="1" t="s">
        <v>192</v>
      </c>
      <c r="H161" s="1" t="s">
        <v>192</v>
      </c>
      <c r="I161" s="1" t="s">
        <v>15</v>
      </c>
    </row>
    <row r="162" spans="1:9" ht="87.75" customHeight="1">
      <c r="A162" s="21">
        <v>154</v>
      </c>
      <c r="B162" s="21">
        <v>38550000</v>
      </c>
      <c r="C162" s="21" t="s">
        <v>8</v>
      </c>
      <c r="D162" s="21" t="s">
        <v>9</v>
      </c>
      <c r="E162" s="21">
        <v>1500</v>
      </c>
      <c r="F162" s="21" t="s">
        <v>166</v>
      </c>
      <c r="G162" s="1" t="s">
        <v>192</v>
      </c>
      <c r="H162" s="1" t="s">
        <v>192</v>
      </c>
      <c r="I162" s="1" t="s">
        <v>15</v>
      </c>
    </row>
    <row r="163" spans="1:9" ht="88.5">
      <c r="A163" s="21">
        <v>155</v>
      </c>
      <c r="B163" s="1">
        <v>44500000</v>
      </c>
      <c r="C163" s="1" t="s">
        <v>222</v>
      </c>
      <c r="D163" s="21" t="s">
        <v>538</v>
      </c>
      <c r="E163" s="21">
        <v>2000</v>
      </c>
      <c r="F163" s="1" t="s">
        <v>164</v>
      </c>
      <c r="G163" s="1" t="s">
        <v>192</v>
      </c>
      <c r="H163" s="1" t="s">
        <v>564</v>
      </c>
      <c r="I163" s="1" t="s">
        <v>15</v>
      </c>
    </row>
    <row r="164" spans="1:9" ht="88.5">
      <c r="A164" s="21">
        <v>156</v>
      </c>
      <c r="B164" s="21">
        <v>79810000</v>
      </c>
      <c r="C164" s="21" t="s">
        <v>11</v>
      </c>
      <c r="D164" s="21" t="s">
        <v>10</v>
      </c>
      <c r="E164" s="21">
        <v>1800</v>
      </c>
      <c r="F164" s="21" t="s">
        <v>166</v>
      </c>
      <c r="G164" s="1" t="s">
        <v>192</v>
      </c>
      <c r="H164" s="1" t="s">
        <v>192</v>
      </c>
      <c r="I164" s="1" t="s">
        <v>15</v>
      </c>
    </row>
    <row r="165" spans="1:9" ht="97.5" customHeight="1">
      <c r="A165" s="21">
        <v>157</v>
      </c>
      <c r="B165" s="21">
        <v>32250000</v>
      </c>
      <c r="C165" s="21" t="s">
        <v>12</v>
      </c>
      <c r="D165" s="21" t="s">
        <v>13</v>
      </c>
      <c r="E165" s="21">
        <v>495</v>
      </c>
      <c r="F165" s="21" t="s">
        <v>166</v>
      </c>
      <c r="G165" s="1" t="s">
        <v>192</v>
      </c>
      <c r="H165" s="1" t="s">
        <v>192</v>
      </c>
      <c r="I165" s="1" t="s">
        <v>15</v>
      </c>
    </row>
    <row r="166" spans="1:9" ht="93" customHeight="1">
      <c r="A166" s="21">
        <v>158</v>
      </c>
      <c r="B166" s="1">
        <v>71300000</v>
      </c>
      <c r="C166" s="1" t="s">
        <v>556</v>
      </c>
      <c r="D166" s="21" t="s">
        <v>14</v>
      </c>
      <c r="E166" s="21">
        <v>15000</v>
      </c>
      <c r="F166" s="21" t="s">
        <v>165</v>
      </c>
      <c r="G166" s="1" t="s">
        <v>192</v>
      </c>
      <c r="H166" s="1" t="s">
        <v>192</v>
      </c>
      <c r="I166" s="1" t="s">
        <v>15</v>
      </c>
    </row>
    <row r="167" spans="1:9" ht="95.25" customHeight="1">
      <c r="A167" s="21">
        <v>159</v>
      </c>
      <c r="B167" s="1">
        <v>50110000</v>
      </c>
      <c r="C167" s="1" t="s">
        <v>549</v>
      </c>
      <c r="D167" s="1" t="s">
        <v>523</v>
      </c>
      <c r="E167" s="21">
        <f>4000+500+2564</f>
        <v>7064</v>
      </c>
      <c r="F167" s="21" t="s">
        <v>164</v>
      </c>
      <c r="G167" s="1" t="s">
        <v>33</v>
      </c>
      <c r="H167" s="1" t="s">
        <v>33</v>
      </c>
      <c r="I167" s="1" t="s">
        <v>145</v>
      </c>
    </row>
    <row r="168" spans="1:9" ht="90.75" customHeight="1">
      <c r="A168" s="21">
        <v>160</v>
      </c>
      <c r="B168" s="1">
        <v>79212000</v>
      </c>
      <c r="C168" s="1" t="s">
        <v>552</v>
      </c>
      <c r="D168" s="21" t="s">
        <v>19</v>
      </c>
      <c r="E168" s="21">
        <f>3000</f>
        <v>3000</v>
      </c>
      <c r="F168" s="21" t="s">
        <v>164</v>
      </c>
      <c r="G168" s="1" t="s">
        <v>33</v>
      </c>
      <c r="H168" s="1" t="s">
        <v>33</v>
      </c>
      <c r="I168" s="1" t="s">
        <v>145</v>
      </c>
    </row>
    <row r="169" spans="1:9" s="61" customFormat="1" ht="93.75" customHeight="1">
      <c r="A169" s="60">
        <v>161</v>
      </c>
      <c r="B169" s="60">
        <v>45111100</v>
      </c>
      <c r="C169" s="60" t="s">
        <v>50</v>
      </c>
      <c r="D169" s="60" t="s">
        <v>171</v>
      </c>
      <c r="E169" s="60">
        <f>25805-6020</f>
        <v>19785</v>
      </c>
      <c r="F169" s="60" t="s">
        <v>164</v>
      </c>
      <c r="G169" s="52" t="s">
        <v>33</v>
      </c>
      <c r="H169" s="52" t="s">
        <v>33</v>
      </c>
      <c r="I169" s="52" t="s">
        <v>145</v>
      </c>
    </row>
    <row r="170" spans="1:9" s="61" customFormat="1" ht="96.75" customHeight="1">
      <c r="A170" s="60">
        <v>162</v>
      </c>
      <c r="B170" s="60">
        <v>45400000</v>
      </c>
      <c r="C170" s="60" t="s">
        <v>501</v>
      </c>
      <c r="D170" s="60" t="s">
        <v>20</v>
      </c>
      <c r="E170" s="60">
        <v>3359</v>
      </c>
      <c r="F170" s="60" t="s">
        <v>165</v>
      </c>
      <c r="G170" s="52" t="s">
        <v>33</v>
      </c>
      <c r="H170" s="52" t="s">
        <v>33</v>
      </c>
      <c r="I170" s="52" t="s">
        <v>145</v>
      </c>
    </row>
    <row r="171" spans="1:9" s="61" customFormat="1" ht="92.25" customHeight="1">
      <c r="A171" s="60">
        <v>163</v>
      </c>
      <c r="B171" s="60">
        <v>45316100</v>
      </c>
      <c r="C171" s="60" t="s">
        <v>51</v>
      </c>
      <c r="D171" s="60" t="s">
        <v>21</v>
      </c>
      <c r="E171" s="60">
        <f>31820+21154</f>
        <v>52974</v>
      </c>
      <c r="F171" s="60" t="s">
        <v>165</v>
      </c>
      <c r="G171" s="52" t="s">
        <v>33</v>
      </c>
      <c r="H171" s="52" t="s">
        <v>33</v>
      </c>
      <c r="I171" s="52" t="s">
        <v>145</v>
      </c>
    </row>
    <row r="172" spans="1:9" s="61" customFormat="1" ht="101.25" customHeight="1">
      <c r="A172" s="60">
        <v>164</v>
      </c>
      <c r="B172" s="60">
        <v>45261000</v>
      </c>
      <c r="C172" s="60" t="s">
        <v>52</v>
      </c>
      <c r="D172" s="60" t="s">
        <v>22</v>
      </c>
      <c r="E172" s="60">
        <f>911</f>
        <v>911</v>
      </c>
      <c r="F172" s="60" t="s">
        <v>165</v>
      </c>
      <c r="G172" s="52" t="s">
        <v>33</v>
      </c>
      <c r="H172" s="52" t="s">
        <v>33</v>
      </c>
      <c r="I172" s="52" t="s">
        <v>145</v>
      </c>
    </row>
    <row r="173" spans="1:9" s="61" customFormat="1" ht="97.5" customHeight="1">
      <c r="A173" s="60">
        <v>165</v>
      </c>
      <c r="B173" s="60">
        <v>45342000</v>
      </c>
      <c r="C173" s="60" t="s">
        <v>53</v>
      </c>
      <c r="D173" s="60" t="s">
        <v>34</v>
      </c>
      <c r="E173" s="60">
        <f>1501</f>
        <v>1501</v>
      </c>
      <c r="F173" s="60" t="s">
        <v>165</v>
      </c>
      <c r="G173" s="52" t="s">
        <v>33</v>
      </c>
      <c r="H173" s="52" t="s">
        <v>33</v>
      </c>
      <c r="I173" s="52" t="s">
        <v>145</v>
      </c>
    </row>
    <row r="174" spans="1:9" s="61" customFormat="1" ht="95.25" customHeight="1">
      <c r="A174" s="60">
        <v>166</v>
      </c>
      <c r="B174" s="60">
        <v>45400000</v>
      </c>
      <c r="C174" s="60" t="s">
        <v>501</v>
      </c>
      <c r="D174" s="60" t="s">
        <v>23</v>
      </c>
      <c r="E174" s="60">
        <f>3757</f>
        <v>3757</v>
      </c>
      <c r="F174" s="60" t="s">
        <v>165</v>
      </c>
      <c r="G174" s="52" t="s">
        <v>33</v>
      </c>
      <c r="H174" s="52" t="s">
        <v>33</v>
      </c>
      <c r="I174" s="52" t="s">
        <v>145</v>
      </c>
    </row>
    <row r="175" spans="1:9" s="61" customFormat="1" ht="95.25" customHeight="1">
      <c r="A175" s="60">
        <v>167</v>
      </c>
      <c r="B175" s="60">
        <v>71300000</v>
      </c>
      <c r="C175" s="60" t="s">
        <v>55</v>
      </c>
      <c r="D175" s="60" t="s">
        <v>107</v>
      </c>
      <c r="E175" s="60">
        <v>3948</v>
      </c>
      <c r="F175" s="60" t="s">
        <v>490</v>
      </c>
      <c r="G175" s="52" t="s">
        <v>33</v>
      </c>
      <c r="H175" s="52" t="s">
        <v>33</v>
      </c>
      <c r="I175" s="52" t="s">
        <v>145</v>
      </c>
    </row>
    <row r="176" spans="1:9" s="61" customFormat="1" ht="93.75" customHeight="1">
      <c r="A176" s="60">
        <v>168</v>
      </c>
      <c r="B176" s="60">
        <v>45400000</v>
      </c>
      <c r="C176" s="60" t="s">
        <v>501</v>
      </c>
      <c r="D176" s="60" t="s">
        <v>25</v>
      </c>
      <c r="E176" s="60">
        <f>131575-3948</f>
        <v>127627</v>
      </c>
      <c r="F176" s="60" t="s">
        <v>165</v>
      </c>
      <c r="G176" s="52" t="s">
        <v>33</v>
      </c>
      <c r="H176" s="52" t="s">
        <v>33</v>
      </c>
      <c r="I176" s="52" t="s">
        <v>145</v>
      </c>
    </row>
    <row r="177" spans="1:9" s="61" customFormat="1" ht="93.75" customHeight="1">
      <c r="A177" s="60">
        <v>169</v>
      </c>
      <c r="B177" s="60">
        <v>71300000</v>
      </c>
      <c r="C177" s="60" t="s">
        <v>55</v>
      </c>
      <c r="D177" s="60" t="s">
        <v>108</v>
      </c>
      <c r="E177" s="60">
        <v>4915</v>
      </c>
      <c r="F177" s="60" t="s">
        <v>490</v>
      </c>
      <c r="G177" s="52" t="s">
        <v>33</v>
      </c>
      <c r="H177" s="52" t="s">
        <v>33</v>
      </c>
      <c r="I177" s="52" t="s">
        <v>145</v>
      </c>
    </row>
    <row r="178" spans="1:9" s="61" customFormat="1" ht="93.75" customHeight="1">
      <c r="A178" s="60">
        <v>170</v>
      </c>
      <c r="B178" s="60">
        <v>45112720</v>
      </c>
      <c r="C178" s="60" t="s">
        <v>54</v>
      </c>
      <c r="D178" s="60" t="s">
        <v>27</v>
      </c>
      <c r="E178" s="60">
        <f>196618-E177</f>
        <v>191703</v>
      </c>
      <c r="F178" s="60" t="s">
        <v>165</v>
      </c>
      <c r="G178" s="52" t="s">
        <v>33</v>
      </c>
      <c r="H178" s="52" t="s">
        <v>33</v>
      </c>
      <c r="I178" s="52" t="s">
        <v>145</v>
      </c>
    </row>
    <row r="179" spans="1:9" s="61" customFormat="1" ht="93.75" customHeight="1">
      <c r="A179" s="60">
        <v>171</v>
      </c>
      <c r="B179" s="60">
        <v>71300000</v>
      </c>
      <c r="C179" s="60" t="s">
        <v>55</v>
      </c>
      <c r="D179" s="60" t="s">
        <v>109</v>
      </c>
      <c r="E179" s="60">
        <v>1150</v>
      </c>
      <c r="F179" s="60" t="s">
        <v>490</v>
      </c>
      <c r="G179" s="52" t="s">
        <v>33</v>
      </c>
      <c r="H179" s="52" t="s">
        <v>33</v>
      </c>
      <c r="I179" s="52" t="s">
        <v>145</v>
      </c>
    </row>
    <row r="180" spans="1:9" s="61" customFormat="1" ht="101.25" customHeight="1">
      <c r="A180" s="60">
        <v>172</v>
      </c>
      <c r="B180" s="60">
        <v>45112720</v>
      </c>
      <c r="C180" s="60" t="s">
        <v>54</v>
      </c>
      <c r="D180" s="60" t="s">
        <v>26</v>
      </c>
      <c r="E180" s="60">
        <f>45978-1150</f>
        <v>44828</v>
      </c>
      <c r="F180" s="60" t="s">
        <v>165</v>
      </c>
      <c r="G180" s="52" t="s">
        <v>33</v>
      </c>
      <c r="H180" s="52" t="s">
        <v>33</v>
      </c>
      <c r="I180" s="52" t="s">
        <v>145</v>
      </c>
    </row>
    <row r="181" spans="1:9" s="61" customFormat="1" ht="99.75" customHeight="1">
      <c r="A181" s="60">
        <v>173</v>
      </c>
      <c r="B181" s="60">
        <v>45400000</v>
      </c>
      <c r="C181" s="60" t="s">
        <v>501</v>
      </c>
      <c r="D181" s="60" t="s">
        <v>24</v>
      </c>
      <c r="E181" s="60">
        <f>9352</f>
        <v>9352</v>
      </c>
      <c r="F181" s="60" t="s">
        <v>165</v>
      </c>
      <c r="G181" s="52" t="s">
        <v>33</v>
      </c>
      <c r="H181" s="52" t="s">
        <v>33</v>
      </c>
      <c r="I181" s="52" t="s">
        <v>145</v>
      </c>
    </row>
    <row r="182" spans="1:9" s="61" customFormat="1" ht="90" customHeight="1">
      <c r="A182" s="60">
        <v>174</v>
      </c>
      <c r="B182" s="60">
        <v>71300000</v>
      </c>
      <c r="C182" s="60" t="s">
        <v>55</v>
      </c>
      <c r="D182" s="60" t="s">
        <v>28</v>
      </c>
      <c r="E182" s="60">
        <f>300000</f>
        <v>300000</v>
      </c>
      <c r="F182" s="60" t="s">
        <v>165</v>
      </c>
      <c r="G182" s="52" t="s">
        <v>33</v>
      </c>
      <c r="H182" s="52" t="s">
        <v>33</v>
      </c>
      <c r="I182" s="52" t="s">
        <v>145</v>
      </c>
    </row>
    <row r="183" spans="1:9" s="61" customFormat="1" ht="99.75" customHeight="1">
      <c r="A183" s="60">
        <v>175</v>
      </c>
      <c r="B183" s="60">
        <v>34144213</v>
      </c>
      <c r="C183" s="60" t="s">
        <v>56</v>
      </c>
      <c r="D183" s="60" t="s">
        <v>29</v>
      </c>
      <c r="E183" s="60">
        <v>250000</v>
      </c>
      <c r="F183" s="60" t="s">
        <v>165</v>
      </c>
      <c r="G183" s="52" t="s">
        <v>33</v>
      </c>
      <c r="H183" s="52" t="s">
        <v>33</v>
      </c>
      <c r="I183" s="52" t="s">
        <v>145</v>
      </c>
    </row>
    <row r="184" spans="1:9" s="61" customFormat="1" ht="103.5" customHeight="1">
      <c r="A184" s="60">
        <v>176</v>
      </c>
      <c r="B184" s="60">
        <v>45200000</v>
      </c>
      <c r="C184" s="60" t="s">
        <v>57</v>
      </c>
      <c r="D184" s="60" t="s">
        <v>30</v>
      </c>
      <c r="E184" s="60">
        <f>1818930</f>
        <v>1818930</v>
      </c>
      <c r="F184" s="60" t="s">
        <v>165</v>
      </c>
      <c r="G184" s="52" t="s">
        <v>33</v>
      </c>
      <c r="H184" s="52" t="s">
        <v>33</v>
      </c>
      <c r="I184" s="52" t="s">
        <v>145</v>
      </c>
    </row>
    <row r="185" spans="1:9" s="61" customFormat="1" ht="127.5">
      <c r="A185" s="60">
        <v>177</v>
      </c>
      <c r="B185" s="60">
        <v>45200000</v>
      </c>
      <c r="C185" s="60" t="s">
        <v>57</v>
      </c>
      <c r="D185" s="60" t="s">
        <v>31</v>
      </c>
      <c r="E185" s="60">
        <f>273379+627791</f>
        <v>901170</v>
      </c>
      <c r="F185" s="60" t="s">
        <v>165</v>
      </c>
      <c r="G185" s="52" t="s">
        <v>33</v>
      </c>
      <c r="H185" s="52" t="s">
        <v>33</v>
      </c>
      <c r="I185" s="52" t="s">
        <v>145</v>
      </c>
    </row>
    <row r="186" spans="1:9" s="61" customFormat="1" ht="88.5">
      <c r="A186" s="60">
        <v>178</v>
      </c>
      <c r="B186" s="60">
        <v>45200000</v>
      </c>
      <c r="C186" s="60" t="s">
        <v>57</v>
      </c>
      <c r="D186" s="60" t="s">
        <v>32</v>
      </c>
      <c r="E186" s="60">
        <f>290000</f>
        <v>290000</v>
      </c>
      <c r="F186" s="60" t="s">
        <v>165</v>
      </c>
      <c r="G186" s="52" t="s">
        <v>33</v>
      </c>
      <c r="H186" s="52" t="s">
        <v>33</v>
      </c>
      <c r="I186" s="52" t="s">
        <v>145</v>
      </c>
    </row>
    <row r="187" spans="1:9" s="61" customFormat="1" ht="88.5">
      <c r="A187" s="60">
        <v>179</v>
      </c>
      <c r="B187" s="60">
        <v>45400000</v>
      </c>
      <c r="C187" s="60" t="s">
        <v>501</v>
      </c>
      <c r="D187" s="60" t="s">
        <v>40</v>
      </c>
      <c r="E187" s="60">
        <v>71928</v>
      </c>
      <c r="F187" s="60" t="s">
        <v>165</v>
      </c>
      <c r="G187" s="52" t="s">
        <v>33</v>
      </c>
      <c r="H187" s="52" t="s">
        <v>33</v>
      </c>
      <c r="I187" s="52" t="s">
        <v>145</v>
      </c>
    </row>
    <row r="188" spans="1:9" ht="92.25" customHeight="1">
      <c r="A188" s="21">
        <v>180</v>
      </c>
      <c r="B188" s="21">
        <v>79952100</v>
      </c>
      <c r="C188" s="21" t="s">
        <v>59</v>
      </c>
      <c r="D188" s="21" t="s">
        <v>58</v>
      </c>
      <c r="E188" s="21">
        <v>3000</v>
      </c>
      <c r="F188" s="21" t="s">
        <v>164</v>
      </c>
      <c r="G188" s="1" t="s">
        <v>33</v>
      </c>
      <c r="H188" s="1" t="s">
        <v>33</v>
      </c>
      <c r="I188" s="1" t="s">
        <v>145</v>
      </c>
    </row>
    <row r="189" spans="1:9" ht="99.75" customHeight="1">
      <c r="A189" s="21">
        <v>181</v>
      </c>
      <c r="B189" s="21">
        <v>92622000</v>
      </c>
      <c r="C189" s="21" t="s">
        <v>60</v>
      </c>
      <c r="D189" s="21" t="s">
        <v>36</v>
      </c>
      <c r="E189" s="21">
        <v>1000</v>
      </c>
      <c r="F189" s="21" t="s">
        <v>164</v>
      </c>
      <c r="G189" s="1" t="s">
        <v>33</v>
      </c>
      <c r="H189" s="1" t="s">
        <v>33</v>
      </c>
      <c r="I189" s="1" t="s">
        <v>145</v>
      </c>
    </row>
    <row r="190" spans="1:9" ht="88.5">
      <c r="A190" s="21">
        <v>182</v>
      </c>
      <c r="B190" s="21">
        <v>18100000</v>
      </c>
      <c r="C190" s="21" t="s">
        <v>70</v>
      </c>
      <c r="D190" s="21" t="s">
        <v>35</v>
      </c>
      <c r="E190" s="21">
        <f>160+260+355</f>
        <v>775</v>
      </c>
      <c r="F190" s="21" t="s">
        <v>164</v>
      </c>
      <c r="G190" s="1" t="s">
        <v>33</v>
      </c>
      <c r="H190" s="1" t="s">
        <v>33</v>
      </c>
      <c r="I190" s="1" t="s">
        <v>145</v>
      </c>
    </row>
    <row r="191" spans="1:9" ht="88.5">
      <c r="A191" s="21">
        <v>183</v>
      </c>
      <c r="B191" s="21">
        <v>31521320</v>
      </c>
      <c r="C191" s="21" t="s">
        <v>69</v>
      </c>
      <c r="D191" s="21" t="s">
        <v>37</v>
      </c>
      <c r="E191" s="21">
        <f>225+280</f>
        <v>505</v>
      </c>
      <c r="F191" s="21" t="s">
        <v>166</v>
      </c>
      <c r="G191" s="1" t="s">
        <v>33</v>
      </c>
      <c r="H191" s="1" t="s">
        <v>33</v>
      </c>
      <c r="I191" s="1" t="s">
        <v>145</v>
      </c>
    </row>
    <row r="192" spans="1:9" ht="88.5">
      <c r="A192" s="21">
        <v>184</v>
      </c>
      <c r="B192" s="21">
        <v>42512520</v>
      </c>
      <c r="C192" s="21" t="s">
        <v>61</v>
      </c>
      <c r="D192" s="21" t="s">
        <v>38</v>
      </c>
      <c r="E192" s="21">
        <f>850+1100+400</f>
        <v>2350</v>
      </c>
      <c r="F192" s="21" t="s">
        <v>164</v>
      </c>
      <c r="G192" s="1" t="s">
        <v>33</v>
      </c>
      <c r="H192" s="1" t="s">
        <v>33</v>
      </c>
      <c r="I192" s="1" t="s">
        <v>145</v>
      </c>
    </row>
    <row r="193" spans="1:9" ht="88.5">
      <c r="A193" s="21">
        <v>185</v>
      </c>
      <c r="B193" s="21">
        <v>39721411</v>
      </c>
      <c r="C193" s="21" t="s">
        <v>62</v>
      </c>
      <c r="D193" s="21" t="s">
        <v>39</v>
      </c>
      <c r="E193" s="21">
        <f>2950</f>
        <v>2950</v>
      </c>
      <c r="F193" s="21" t="s">
        <v>164</v>
      </c>
      <c r="G193" s="1" t="s">
        <v>33</v>
      </c>
      <c r="H193" s="1" t="s">
        <v>33</v>
      </c>
      <c r="I193" s="1" t="s">
        <v>145</v>
      </c>
    </row>
    <row r="194" spans="1:9" ht="88.5">
      <c r="A194" s="21">
        <v>186</v>
      </c>
      <c r="B194" s="21">
        <v>39130000</v>
      </c>
      <c r="C194" s="21" t="s">
        <v>542</v>
      </c>
      <c r="D194" s="21" t="s">
        <v>41</v>
      </c>
      <c r="E194" s="21">
        <f>980+490+900+400+150+200+300+600+600+600+400+600+490+240+1200+1200+400+400+300</f>
        <v>10450</v>
      </c>
      <c r="F194" s="21" t="s">
        <v>164</v>
      </c>
      <c r="G194" s="1" t="s">
        <v>33</v>
      </c>
      <c r="H194" s="1" t="s">
        <v>33</v>
      </c>
      <c r="I194" s="1" t="s">
        <v>145</v>
      </c>
    </row>
    <row r="195" spans="1:9" ht="88.5">
      <c r="A195" s="21">
        <v>187</v>
      </c>
      <c r="B195" s="21">
        <v>44421000</v>
      </c>
      <c r="C195" s="21" t="s">
        <v>63</v>
      </c>
      <c r="D195" s="21" t="s">
        <v>42</v>
      </c>
      <c r="E195" s="21">
        <v>1470</v>
      </c>
      <c r="F195" s="21" t="s">
        <v>166</v>
      </c>
      <c r="G195" s="1" t="s">
        <v>33</v>
      </c>
      <c r="H195" s="1" t="s">
        <v>33</v>
      </c>
      <c r="I195" s="1" t="s">
        <v>145</v>
      </c>
    </row>
    <row r="196" spans="1:9" ht="88.5">
      <c r="A196" s="21">
        <v>188</v>
      </c>
      <c r="B196" s="1">
        <v>30200000</v>
      </c>
      <c r="C196" s="1" t="s">
        <v>550</v>
      </c>
      <c r="D196" s="21" t="s">
        <v>47</v>
      </c>
      <c r="E196" s="21">
        <f>450+1500+1000+700+400+1100+1100+480+1300+3500+1500+700</f>
        <v>13730</v>
      </c>
      <c r="F196" s="21" t="s">
        <v>164</v>
      </c>
      <c r="G196" s="1" t="s">
        <v>33</v>
      </c>
      <c r="H196" s="1" t="s">
        <v>33</v>
      </c>
      <c r="I196" s="1" t="s">
        <v>145</v>
      </c>
    </row>
    <row r="197" spans="1:9" ht="88.5">
      <c r="A197" s="21">
        <v>189</v>
      </c>
      <c r="B197" s="21">
        <v>22800000</v>
      </c>
      <c r="C197" s="21" t="s">
        <v>548</v>
      </c>
      <c r="D197" s="21" t="s">
        <v>43</v>
      </c>
      <c r="E197" s="21">
        <v>450</v>
      </c>
      <c r="F197" s="21" t="s">
        <v>164</v>
      </c>
      <c r="G197" s="1" t="s">
        <v>33</v>
      </c>
      <c r="H197" s="1" t="s">
        <v>33</v>
      </c>
      <c r="I197" s="1" t="s">
        <v>145</v>
      </c>
    </row>
    <row r="198" spans="1:9" ht="90" customHeight="1">
      <c r="A198" s="21">
        <v>190</v>
      </c>
      <c r="B198" s="62" t="s">
        <v>65</v>
      </c>
      <c r="C198" s="21" t="s">
        <v>64</v>
      </c>
      <c r="D198" s="21" t="s">
        <v>44</v>
      </c>
      <c r="E198" s="21">
        <v>1000</v>
      </c>
      <c r="F198" s="21" t="s">
        <v>166</v>
      </c>
      <c r="G198" s="1" t="s">
        <v>33</v>
      </c>
      <c r="H198" s="1" t="s">
        <v>33</v>
      </c>
      <c r="I198" s="1" t="s">
        <v>145</v>
      </c>
    </row>
    <row r="199" spans="1:9" s="61" customFormat="1" ht="93.75" customHeight="1">
      <c r="A199" s="60">
        <v>191</v>
      </c>
      <c r="B199" s="60">
        <v>34100000</v>
      </c>
      <c r="C199" s="60" t="s">
        <v>239</v>
      </c>
      <c r="D199" s="60" t="s">
        <v>45</v>
      </c>
      <c r="E199" s="60">
        <v>40000</v>
      </c>
      <c r="F199" s="60" t="s">
        <v>164</v>
      </c>
      <c r="G199" s="52" t="s">
        <v>33</v>
      </c>
      <c r="H199" s="52" t="s">
        <v>33</v>
      </c>
      <c r="I199" s="52" t="s">
        <v>145</v>
      </c>
    </row>
    <row r="200" spans="1:9" ht="93.75" customHeight="1">
      <c r="A200" s="21">
        <v>192</v>
      </c>
      <c r="B200" s="21">
        <v>39715220</v>
      </c>
      <c r="C200" s="21" t="s">
        <v>66</v>
      </c>
      <c r="D200" s="21" t="s">
        <v>46</v>
      </c>
      <c r="E200" s="21">
        <v>300</v>
      </c>
      <c r="F200" s="21" t="s">
        <v>164</v>
      </c>
      <c r="G200" s="1" t="s">
        <v>33</v>
      </c>
      <c r="H200" s="1" t="s">
        <v>33</v>
      </c>
      <c r="I200" s="1" t="s">
        <v>145</v>
      </c>
    </row>
    <row r="201" spans="1:9" ht="93.75" customHeight="1">
      <c r="A201" s="21">
        <v>193</v>
      </c>
      <c r="B201" s="21">
        <v>22800000</v>
      </c>
      <c r="C201" s="21" t="s">
        <v>548</v>
      </c>
      <c r="D201" s="21" t="s">
        <v>48</v>
      </c>
      <c r="E201" s="21">
        <v>1000</v>
      </c>
      <c r="F201" s="21" t="s">
        <v>164</v>
      </c>
      <c r="G201" s="1" t="s">
        <v>33</v>
      </c>
      <c r="H201" s="1" t="s">
        <v>33</v>
      </c>
      <c r="I201" s="1" t="s">
        <v>145</v>
      </c>
    </row>
    <row r="202" spans="1:9" ht="93.75" customHeight="1">
      <c r="A202" s="21">
        <v>194</v>
      </c>
      <c r="B202" s="21">
        <v>39711110</v>
      </c>
      <c r="C202" s="21" t="s">
        <v>68</v>
      </c>
      <c r="D202" s="21" t="s">
        <v>524</v>
      </c>
      <c r="E202" s="21">
        <v>480</v>
      </c>
      <c r="F202" s="21" t="s">
        <v>164</v>
      </c>
      <c r="G202" s="1" t="s">
        <v>33</v>
      </c>
      <c r="H202" s="1" t="s">
        <v>33</v>
      </c>
      <c r="I202" s="1" t="s">
        <v>145</v>
      </c>
    </row>
    <row r="203" spans="1:9" ht="93.75" customHeight="1">
      <c r="A203" s="21">
        <v>195</v>
      </c>
      <c r="B203" s="21">
        <v>60170000</v>
      </c>
      <c r="C203" s="21" t="s">
        <v>198</v>
      </c>
      <c r="D203" s="21" t="s">
        <v>49</v>
      </c>
      <c r="E203" s="21">
        <v>5000</v>
      </c>
      <c r="F203" s="21" t="s">
        <v>164</v>
      </c>
      <c r="G203" s="1" t="s">
        <v>33</v>
      </c>
      <c r="H203" s="1" t="s">
        <v>33</v>
      </c>
      <c r="I203" s="1" t="s">
        <v>145</v>
      </c>
    </row>
    <row r="204" spans="1:9" ht="88.5">
      <c r="A204" s="21">
        <v>196</v>
      </c>
      <c r="B204" s="21">
        <v>9100000</v>
      </c>
      <c r="C204" s="21" t="s">
        <v>67</v>
      </c>
      <c r="D204" s="21" t="s">
        <v>539</v>
      </c>
      <c r="E204" s="21">
        <f>550+1350</f>
        <v>1900</v>
      </c>
      <c r="F204" s="21" t="s">
        <v>164</v>
      </c>
      <c r="G204" s="1" t="s">
        <v>33</v>
      </c>
      <c r="H204" s="1" t="s">
        <v>33</v>
      </c>
      <c r="I204" s="1" t="s">
        <v>145</v>
      </c>
    </row>
    <row r="205" spans="1:9" ht="100.5" customHeight="1">
      <c r="A205" s="21"/>
      <c r="B205" s="21">
        <v>31300000</v>
      </c>
      <c r="C205" s="21" t="s">
        <v>123</v>
      </c>
      <c r="D205" s="21" t="s">
        <v>124</v>
      </c>
      <c r="E205" s="21">
        <v>1960</v>
      </c>
      <c r="F205" s="21" t="s">
        <v>166</v>
      </c>
      <c r="G205" s="1" t="s">
        <v>33</v>
      </c>
      <c r="H205" s="1" t="s">
        <v>33</v>
      </c>
      <c r="I205" s="1" t="s">
        <v>79</v>
      </c>
    </row>
    <row r="206" spans="1:9" ht="88.5">
      <c r="A206" s="21"/>
      <c r="B206" s="1">
        <v>50110000</v>
      </c>
      <c r="C206" s="1" t="s">
        <v>549</v>
      </c>
      <c r="D206" s="1" t="s">
        <v>523</v>
      </c>
      <c r="E206" s="21">
        <f>3300-1500+500</f>
        <v>2300</v>
      </c>
      <c r="F206" s="21" t="s">
        <v>164</v>
      </c>
      <c r="G206" s="1" t="s">
        <v>33</v>
      </c>
      <c r="H206" s="1" t="s">
        <v>33</v>
      </c>
      <c r="I206" s="1" t="s">
        <v>79</v>
      </c>
    </row>
    <row r="207" spans="1:9" ht="88.5">
      <c r="A207" s="21"/>
      <c r="B207" s="1">
        <v>42512000</v>
      </c>
      <c r="C207" s="1" t="s">
        <v>219</v>
      </c>
      <c r="D207" s="17" t="s">
        <v>318</v>
      </c>
      <c r="E207" s="21">
        <v>1780</v>
      </c>
      <c r="F207" s="21" t="s">
        <v>164</v>
      </c>
      <c r="G207" s="1" t="s">
        <v>33</v>
      </c>
      <c r="H207" s="1" t="s">
        <v>33</v>
      </c>
      <c r="I207" s="1" t="s">
        <v>79</v>
      </c>
    </row>
    <row r="208" spans="1:9" ht="88.5">
      <c r="A208" s="21"/>
      <c r="B208" s="21">
        <v>31161800</v>
      </c>
      <c r="C208" s="21" t="s">
        <v>125</v>
      </c>
      <c r="D208" s="21" t="s">
        <v>126</v>
      </c>
      <c r="E208" s="21">
        <v>1500</v>
      </c>
      <c r="F208" s="21" t="s">
        <v>166</v>
      </c>
      <c r="G208" s="1" t="s">
        <v>33</v>
      </c>
      <c r="H208" s="1" t="s">
        <v>33</v>
      </c>
      <c r="I208" s="1" t="s">
        <v>79</v>
      </c>
    </row>
    <row r="209" spans="1:9" ht="138.75" customHeight="1">
      <c r="A209" s="21"/>
      <c r="B209" s="21">
        <v>92300000</v>
      </c>
      <c r="C209" s="21" t="s">
        <v>127</v>
      </c>
      <c r="D209" s="21" t="s">
        <v>128</v>
      </c>
      <c r="E209" s="21">
        <v>30530</v>
      </c>
      <c r="F209" s="21" t="s">
        <v>166</v>
      </c>
      <c r="G209" s="1" t="s">
        <v>33</v>
      </c>
      <c r="H209" s="1" t="s">
        <v>33</v>
      </c>
      <c r="I209" s="1" t="s">
        <v>80</v>
      </c>
    </row>
    <row r="210" spans="1:9" ht="122.25" customHeight="1">
      <c r="A210" s="21"/>
      <c r="B210" s="21">
        <v>31500000</v>
      </c>
      <c r="C210" s="21" t="s">
        <v>129</v>
      </c>
      <c r="D210" s="21" t="s">
        <v>131</v>
      </c>
      <c r="E210" s="21">
        <v>18930</v>
      </c>
      <c r="F210" s="21" t="s">
        <v>166</v>
      </c>
      <c r="G210" s="1" t="s">
        <v>33</v>
      </c>
      <c r="H210" s="1" t="s">
        <v>33</v>
      </c>
      <c r="I210" s="1" t="s">
        <v>80</v>
      </c>
    </row>
    <row r="211" spans="1:9" ht="88.5">
      <c r="A211" s="21"/>
      <c r="B211" s="21">
        <v>45300000</v>
      </c>
      <c r="C211" s="21" t="s">
        <v>132</v>
      </c>
      <c r="D211" s="21" t="s">
        <v>133</v>
      </c>
      <c r="E211" s="21">
        <v>10000</v>
      </c>
      <c r="F211" s="21" t="s">
        <v>166</v>
      </c>
      <c r="G211" s="1" t="s">
        <v>33</v>
      </c>
      <c r="H211" s="1" t="s">
        <v>33</v>
      </c>
      <c r="I211" s="1" t="s">
        <v>79</v>
      </c>
    </row>
    <row r="212" spans="1:9" ht="88.5">
      <c r="A212" s="21"/>
      <c r="B212" s="21">
        <v>45300000</v>
      </c>
      <c r="C212" s="21" t="s">
        <v>132</v>
      </c>
      <c r="D212" s="21" t="s">
        <v>134</v>
      </c>
      <c r="E212" s="21">
        <v>8000</v>
      </c>
      <c r="F212" s="21" t="s">
        <v>166</v>
      </c>
      <c r="G212" s="1" t="s">
        <v>33</v>
      </c>
      <c r="H212" s="1" t="s">
        <v>33</v>
      </c>
      <c r="I212" s="1" t="s">
        <v>79</v>
      </c>
    </row>
    <row r="213" spans="2:9" ht="42.75" customHeight="1">
      <c r="B213" s="21">
        <v>39113000</v>
      </c>
      <c r="C213" s="21" t="s">
        <v>138</v>
      </c>
      <c r="D213" s="21" t="s">
        <v>139</v>
      </c>
      <c r="E213" s="21">
        <f>2250+3850+300</f>
        <v>6400</v>
      </c>
      <c r="F213" s="21" t="s">
        <v>164</v>
      </c>
      <c r="G213" s="1" t="s">
        <v>33</v>
      </c>
      <c r="H213" s="1" t="s">
        <v>33</v>
      </c>
      <c r="I213" s="21"/>
    </row>
    <row r="214" spans="2:9" ht="28.5" customHeight="1">
      <c r="B214" s="21">
        <v>32250000</v>
      </c>
      <c r="C214" s="21" t="s">
        <v>140</v>
      </c>
      <c r="D214" s="21" t="s">
        <v>140</v>
      </c>
      <c r="E214" s="21">
        <v>3880</v>
      </c>
      <c r="F214" s="21" t="s">
        <v>166</v>
      </c>
      <c r="G214" s="1" t="s">
        <v>33</v>
      </c>
      <c r="H214" s="1" t="s">
        <v>33</v>
      </c>
      <c r="I214" s="21"/>
    </row>
    <row r="215" spans="2:9" ht="25.5">
      <c r="B215" s="21">
        <v>38650000</v>
      </c>
      <c r="C215" s="21" t="s">
        <v>141</v>
      </c>
      <c r="D215" s="21" t="s">
        <v>526</v>
      </c>
      <c r="E215" s="21">
        <v>499</v>
      </c>
      <c r="F215" s="21" t="s">
        <v>166</v>
      </c>
      <c r="G215" s="1" t="s">
        <v>33</v>
      </c>
      <c r="H215" s="1" t="s">
        <v>33</v>
      </c>
      <c r="I215" s="21"/>
    </row>
  </sheetData>
  <sheetProtection/>
  <mergeCells count="9">
    <mergeCell ref="C6:D6"/>
    <mergeCell ref="C7:D7"/>
    <mergeCell ref="G1:I1"/>
    <mergeCell ref="A3:D3"/>
    <mergeCell ref="E3:I3"/>
    <mergeCell ref="A4:D4"/>
    <mergeCell ref="E4:I4"/>
    <mergeCell ref="A5:I5"/>
    <mergeCell ref="A2:I2"/>
  </mergeCells>
  <printOptions/>
  <pageMargins left="0.7874015748031497" right="0.5118110236220472" top="0.5118110236220472" bottom="0.5118110236220472"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2012-01-05T06:30:52Z</cp:lastPrinted>
  <dcterms:created xsi:type="dcterms:W3CDTF">1996-10-08T23:32:33Z</dcterms:created>
  <dcterms:modified xsi:type="dcterms:W3CDTF">2012-01-05T06:32:37Z</dcterms:modified>
  <cp:category/>
  <cp:version/>
  <cp:contentType/>
  <cp:contentStatus/>
</cp:coreProperties>
</file>